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https://mypac-my.sharepoint.com/personal/shay_tsaban_pac_org_il/Documents/YVC - Intro ACC/2027A/"/>
    </mc:Choice>
  </mc:AlternateContent>
  <xr:revisionPtr revIDLastSave="8722" documentId="13_ncr:1_{4E737EF6-41CF-AC4E-B43D-C052028658F9}" xr6:coauthVersionLast="47" xr6:coauthVersionMax="47" xr10:uidLastSave="{3EC099D4-8C5C-3C44-9D9B-15960FE1B0DE}"/>
  <bookViews>
    <workbookView xWindow="0" yWindow="0" windowWidth="40000" windowHeight="25000" firstSheet="1" activeTab="4" xr2:uid="{309056A4-3C50-4546-9E59-BAC3C8C92DA6}"/>
  </bookViews>
  <sheets>
    <sheet name="אינדקס" sheetId="15" r:id="rId1"/>
    <sheet name="1 - הרצאה" sheetId="1" r:id="rId2"/>
    <sheet name="1 - מושגים" sheetId="2" r:id="rId3"/>
    <sheet name="1 - תרגול" sheetId="14" r:id="rId4"/>
    <sheet name="2 - הרצאה" sheetId="10" r:id="rId5"/>
    <sheet name="2 - ביאורים" sheetId="16" r:id="rId6"/>
    <sheet name="2 - יונית" sheetId="17" r:id="rId7"/>
    <sheet name="2 - תרגול נוסף" sheetId="18" r:id="rId8"/>
    <sheet name="3 - הרצאה" sheetId="19" r:id="rId9"/>
    <sheet name="3 - תרגול נוסף" sheetId="4" r:id="rId10"/>
    <sheet name="4 - הרצאה" sheetId="5" r:id="rId11"/>
    <sheet name="5 - הרצאה" sheetId="20" r:id="rId12"/>
    <sheet name="5 - תרגול 1" sheetId="21" r:id="rId13"/>
    <sheet name="6 - הרצאה" sheetId="9" r:id="rId14"/>
    <sheet name="6 תרגול נוסף" sheetId="22" r:id="rId15"/>
    <sheet name="5,6 תרגול נוסף" sheetId="7" r:id="rId16"/>
    <sheet name="7 - הרצאה חדשה" sheetId="11" r:id="rId17"/>
    <sheet name="8 - רכוש קבוע פיניטו" sheetId="29" r:id="rId18"/>
    <sheet name="9 - חדש - אינטגרציה א" sheetId="12" r:id="rId19"/>
    <sheet name="10 חדש הנסיכה התימנית" sheetId="23" r:id="rId20"/>
    <sheet name="11 שאלת בחינה" sheetId="30" r:id="rId21"/>
    <sheet name="12 המשך בחינה" sheetId="31" r:id="rId22"/>
    <sheet name="Sheet1" sheetId="32" r:id="rId23"/>
    <sheet name="שרה" sheetId="24" r:id="rId24"/>
    <sheet name="מבנה הבחינה" sheetId="27" r:id="rId25"/>
    <sheet name="מסה נוספת לחזרה" sheetId="13" r:id="rId26"/>
    <sheet name="תרגילים נוספים קצרים לחזרה" sheetId="25" r:id="rId27"/>
    <sheet name="תרגול קצר אחרון" sheetId="28" r:id="rId28"/>
  </sheets>
  <definedNames>
    <definedName name="_xlnm.Print_Area" localSheetId="0">אינדקס!$A$9:$H$32</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15" i="10" l="1"/>
  <c r="G207" i="10"/>
  <c r="H262" i="10" s="1"/>
  <c r="G208" i="10"/>
  <c r="G206" i="10"/>
  <c r="H261" i="10" s="1"/>
  <c r="G205" i="10"/>
  <c r="H260" i="10" s="1"/>
  <c r="H204" i="10"/>
  <c r="I203" i="10"/>
  <c r="E202" i="10"/>
  <c r="E201" i="10"/>
  <c r="E200" i="10"/>
  <c r="E199" i="10"/>
  <c r="E198" i="10"/>
  <c r="I197" i="10"/>
  <c r="F196" i="10"/>
  <c r="H254" i="10" s="1"/>
  <c r="H255" i="10" s="1"/>
  <c r="F195" i="10"/>
  <c r="E193" i="10"/>
  <c r="I194" i="10"/>
  <c r="H192" i="10"/>
  <c r="D230" i="10" s="1"/>
  <c r="I191" i="10"/>
  <c r="I190" i="10"/>
  <c r="I189" i="10"/>
  <c r="I188" i="10"/>
  <c r="H187" i="10"/>
  <c r="I186" i="10"/>
  <c r="I185" i="10"/>
  <c r="I184" i="10"/>
  <c r="H183" i="10"/>
  <c r="H182" i="10"/>
  <c r="H181" i="10"/>
  <c r="F180" i="10"/>
  <c r="H248" i="10" s="1"/>
  <c r="F179" i="10"/>
  <c r="E178" i="10"/>
  <c r="E177" i="10"/>
  <c r="D248" i="10" s="1"/>
  <c r="E176" i="10"/>
  <c r="E175" i="10"/>
  <c r="E174" i="10"/>
  <c r="E173" i="10"/>
  <c r="I172" i="10"/>
  <c r="I171" i="10"/>
  <c r="I170" i="10"/>
  <c r="I169" i="10"/>
  <c r="F168" i="10"/>
  <c r="E167" i="10"/>
  <c r="E166" i="10"/>
  <c r="F165" i="10"/>
  <c r="E164" i="10"/>
  <c r="D255" i="10"/>
  <c r="D250" i="10"/>
  <c r="G314" i="1"/>
  <c r="G313" i="1"/>
  <c r="G312" i="1"/>
  <c r="G311" i="1"/>
  <c r="G310" i="1"/>
  <c r="G309" i="1"/>
  <c r="G308" i="1"/>
  <c r="G307" i="1"/>
  <c r="G306" i="1"/>
  <c r="F305" i="1"/>
  <c r="F304" i="1"/>
  <c r="F303" i="1"/>
  <c r="F302" i="1"/>
  <c r="E301" i="1"/>
  <c r="E300" i="1"/>
  <c r="D299" i="1"/>
  <c r="D298" i="1"/>
  <c r="C297" i="1"/>
  <c r="C296" i="1"/>
  <c r="C295" i="1"/>
  <c r="C294" i="1"/>
  <c r="C293" i="1"/>
  <c r="D292" i="1"/>
  <c r="D291" i="1"/>
  <c r="C290" i="1"/>
  <c r="C289" i="1"/>
  <c r="C288" i="1"/>
  <c r="C287" i="1"/>
  <c r="D85" i="1"/>
  <c r="D84" i="1"/>
  <c r="D83" i="1"/>
  <c r="D82" i="1"/>
  <c r="J314" i="32"/>
  <c r="K304" i="32"/>
  <c r="K303" i="32"/>
  <c r="L260" i="32"/>
  <c r="K280" i="32"/>
  <c r="L259" i="32"/>
  <c r="L258" i="32"/>
  <c r="L261" i="32" s="1"/>
  <c r="F275" i="32"/>
  <c r="Q217" i="32"/>
  <c r="Q216" i="32"/>
  <c r="N215" i="32"/>
  <c r="L215" i="32"/>
  <c r="Q213" i="32"/>
  <c r="N213" i="32"/>
  <c r="N218" i="32" s="1"/>
  <c r="Q212" i="32"/>
  <c r="L212" i="32"/>
  <c r="P211" i="32"/>
  <c r="P218" i="32" s="1"/>
  <c r="O211" i="32"/>
  <c r="M211" i="32"/>
  <c r="M214" i="32" s="1"/>
  <c r="L211" i="32"/>
  <c r="D216" i="32"/>
  <c r="Q211" i="32" s="1"/>
  <c r="O194" i="32"/>
  <c r="N195" i="32"/>
  <c r="N199" i="32" s="1"/>
  <c r="M193" i="32"/>
  <c r="N184" i="32"/>
  <c r="N190" i="32"/>
  <c r="M199" i="32" s="1"/>
  <c r="O189" i="32"/>
  <c r="N189" i="32" s="1"/>
  <c r="L187" i="32"/>
  <c r="K185" i="32"/>
  <c r="K190" i="32" s="1"/>
  <c r="E175" i="32"/>
  <c r="E168" i="32"/>
  <c r="E129" i="32"/>
  <c r="E176" i="32" s="1"/>
  <c r="E145" i="32"/>
  <c r="E144" i="32"/>
  <c r="E128" i="32"/>
  <c r="E127" i="32"/>
  <c r="E124" i="32"/>
  <c r="F88" i="32"/>
  <c r="F89" i="32" s="1"/>
  <c r="F93" i="32" s="1"/>
  <c r="F94" i="32" s="1"/>
  <c r="F92" i="32" s="1"/>
  <c r="E79" i="32"/>
  <c r="F99" i="32" s="1"/>
  <c r="E78" i="32"/>
  <c r="E80" i="32" s="1"/>
  <c r="G75" i="32"/>
  <c r="F98" i="32" s="1"/>
  <c r="J260" i="31"/>
  <c r="J259" i="31"/>
  <c r="D241" i="31"/>
  <c r="D242" i="31"/>
  <c r="B220" i="31"/>
  <c r="I205" i="31"/>
  <c r="I204" i="31"/>
  <c r="I203" i="31"/>
  <c r="I202" i="31"/>
  <c r="C197" i="31"/>
  <c r="C196" i="31"/>
  <c r="F193" i="31"/>
  <c r="D178" i="31"/>
  <c r="C178" i="31"/>
  <c r="D177" i="31"/>
  <c r="C177" i="31"/>
  <c r="D180" i="31"/>
  <c r="C180" i="31"/>
  <c r="D184" i="31"/>
  <c r="D176" i="31"/>
  <c r="C176" i="31"/>
  <c r="D142" i="31"/>
  <c r="G145" i="31"/>
  <c r="F145" i="31"/>
  <c r="E145" i="31"/>
  <c r="D145" i="31"/>
  <c r="C145" i="31"/>
  <c r="G144" i="31"/>
  <c r="G143" i="31"/>
  <c r="E142" i="31"/>
  <c r="D141" i="31"/>
  <c r="C141" i="31"/>
  <c r="E140" i="31"/>
  <c r="D140" i="31"/>
  <c r="G140" i="31"/>
  <c r="E139" i="31"/>
  <c r="C139" i="31"/>
  <c r="G139" i="31"/>
  <c r="D117" i="31"/>
  <c r="C109" i="31"/>
  <c r="F109" i="31" s="1"/>
  <c r="F108" i="31" s="1"/>
  <c r="G108" i="31" s="1"/>
  <c r="G109" i="31" s="1"/>
  <c r="E107" i="31"/>
  <c r="J90" i="31"/>
  <c r="F104" i="31" s="1"/>
  <c r="E27" i="31"/>
  <c r="F305" i="30"/>
  <c r="D45" i="30"/>
  <c r="H305" i="30"/>
  <c r="D307" i="30"/>
  <c r="E305" i="30"/>
  <c r="G305" i="30"/>
  <c r="D305" i="30"/>
  <c r="Y283" i="30"/>
  <c r="U280" i="30" s="1"/>
  <c r="U281" i="30" s="1"/>
  <c r="U284" i="30" s="1"/>
  <c r="Y282" i="30"/>
  <c r="U279" i="30"/>
  <c r="U275" i="30"/>
  <c r="U272" i="30"/>
  <c r="U271" i="30"/>
  <c r="U270" i="30"/>
  <c r="U269" i="30"/>
  <c r="Q284" i="30"/>
  <c r="Q277" i="30"/>
  <c r="Q276" i="30"/>
  <c r="Q275" i="30"/>
  <c r="V311" i="30"/>
  <c r="U311" i="30"/>
  <c r="T311" i="30"/>
  <c r="V310" i="30"/>
  <c r="U310" i="30"/>
  <c r="T310" i="30"/>
  <c r="V309" i="30"/>
  <c r="T309" i="30"/>
  <c r="Q272" i="30"/>
  <c r="U298" i="30"/>
  <c r="U297" i="30"/>
  <c r="Q270" i="30"/>
  <c r="Q269" i="30"/>
  <c r="M277" i="30"/>
  <c r="M272" i="30"/>
  <c r="M275" i="30"/>
  <c r="M274" i="30"/>
  <c r="M273" i="30"/>
  <c r="P339" i="30"/>
  <c r="P334" i="30"/>
  <c r="P337" i="30"/>
  <c r="P332" i="30"/>
  <c r="P331" i="30"/>
  <c r="P320" i="30"/>
  <c r="P316" i="30"/>
  <c r="P323" i="30"/>
  <c r="E276" i="30"/>
  <c r="F52" i="30"/>
  <c r="P328" i="30"/>
  <c r="M270" i="30" s="1"/>
  <c r="P324" i="30"/>
  <c r="P318" i="30"/>
  <c r="P317" i="30"/>
  <c r="P315" i="30"/>
  <c r="P313" i="30"/>
  <c r="P314" i="30"/>
  <c r="P312" i="30"/>
  <c r="P301" i="30"/>
  <c r="P308" i="30"/>
  <c r="P307" i="30"/>
  <c r="P305" i="30"/>
  <c r="P309" i="30" s="1"/>
  <c r="P300" i="30" s="1"/>
  <c r="P302" i="30" s="1"/>
  <c r="M266" i="30" s="1"/>
  <c r="P299" i="30"/>
  <c r="P295" i="30"/>
  <c r="P294" i="30"/>
  <c r="P293" i="30"/>
  <c r="P296" i="30" s="1"/>
  <c r="M265" i="30" s="1"/>
  <c r="D236" i="30"/>
  <c r="E223" i="30"/>
  <c r="E224" i="30" s="1"/>
  <c r="E220" i="30"/>
  <c r="D205" i="30"/>
  <c r="D206" i="30" s="1"/>
  <c r="E212" i="30"/>
  <c r="K189" i="30"/>
  <c r="K190" i="30"/>
  <c r="E190" i="30"/>
  <c r="E189" i="30" s="1"/>
  <c r="E186" i="30"/>
  <c r="J175" i="30"/>
  <c r="K175" i="30" s="1"/>
  <c r="D171" i="30"/>
  <c r="D167" i="30" s="1"/>
  <c r="D150" i="30"/>
  <c r="E136" i="30"/>
  <c r="E137" i="30" s="1"/>
  <c r="D121" i="30"/>
  <c r="D27" i="30" s="1"/>
  <c r="E93" i="30"/>
  <c r="F75" i="30"/>
  <c r="E15" i="30" s="1"/>
  <c r="H37" i="30"/>
  <c r="D36" i="30"/>
  <c r="H35" i="30"/>
  <c r="H34" i="30"/>
  <c r="E32" i="30"/>
  <c r="G30" i="30"/>
  <c r="D25" i="30"/>
  <c r="D24" i="30"/>
  <c r="H23" i="30"/>
  <c r="G22" i="30"/>
  <c r="G21" i="30"/>
  <c r="H20" i="30"/>
  <c r="E18" i="30"/>
  <c r="E17" i="30"/>
  <c r="G16" i="30"/>
  <c r="G14" i="30"/>
  <c r="G44" i="30" s="1"/>
  <c r="H13" i="30"/>
  <c r="H12" i="30"/>
  <c r="H11" i="30"/>
  <c r="H10" i="30"/>
  <c r="H9" i="30"/>
  <c r="E8" i="30"/>
  <c r="H6" i="30"/>
  <c r="H7" i="30"/>
  <c r="H5" i="30"/>
  <c r="F4" i="30"/>
  <c r="B238" i="23"/>
  <c r="G300" i="23"/>
  <c r="K265" i="23"/>
  <c r="K264" i="23"/>
  <c r="J246" i="23"/>
  <c r="I246" i="23"/>
  <c r="I244" i="23"/>
  <c r="H244" i="23"/>
  <c r="I243" i="23"/>
  <c r="H243" i="23"/>
  <c r="B239" i="23"/>
  <c r="H224" i="23"/>
  <c r="H223" i="23"/>
  <c r="I224" i="23"/>
  <c r="I223" i="23"/>
  <c r="I222" i="23"/>
  <c r="G223" i="23"/>
  <c r="D154" i="23"/>
  <c r="J155" i="23"/>
  <c r="G261" i="12"/>
  <c r="H260" i="12"/>
  <c r="H259" i="12"/>
  <c r="H256" i="12"/>
  <c r="E256" i="12"/>
  <c r="H255" i="12"/>
  <c r="H261" i="12" s="1"/>
  <c r="D255" i="12"/>
  <c r="D257" i="12" s="1"/>
  <c r="G165" i="12"/>
  <c r="H164" i="12"/>
  <c r="H163" i="12"/>
  <c r="F211" i="12"/>
  <c r="F217" i="12" s="1"/>
  <c r="L181" i="12"/>
  <c r="L186" i="12" s="1"/>
  <c r="L174" i="12"/>
  <c r="L185" i="12" s="1"/>
  <c r="D159" i="12"/>
  <c r="E160" i="12"/>
  <c r="H160" i="12"/>
  <c r="F181" i="12"/>
  <c r="F186" i="12" s="1"/>
  <c r="F174" i="12"/>
  <c r="F185" i="12" s="1"/>
  <c r="H159" i="12"/>
  <c r="H165" i="12" s="1"/>
  <c r="C689" i="12"/>
  <c r="E127" i="12"/>
  <c r="F126" i="12"/>
  <c r="F125" i="12"/>
  <c r="F122" i="12"/>
  <c r="C122" i="12"/>
  <c r="F121" i="12"/>
  <c r="B121" i="12"/>
  <c r="E57" i="12"/>
  <c r="F56" i="12"/>
  <c r="F55" i="12"/>
  <c r="C54" i="12"/>
  <c r="D54" i="12" s="1"/>
  <c r="C52" i="12"/>
  <c r="F52" i="12"/>
  <c r="B51" i="12"/>
  <c r="C540" i="29"/>
  <c r="C541" i="29" s="1"/>
  <c r="E545" i="29" s="1"/>
  <c r="E546" i="29" s="1"/>
  <c r="D534" i="29"/>
  <c r="D533" i="29"/>
  <c r="B531" i="29"/>
  <c r="B530" i="29"/>
  <c r="D506" i="29"/>
  <c r="D502" i="29"/>
  <c r="D503" i="29" s="1"/>
  <c r="L499" i="29"/>
  <c r="H499" i="29"/>
  <c r="C482" i="29"/>
  <c r="D508" i="29" s="1"/>
  <c r="E473" i="29"/>
  <c r="D473" i="29"/>
  <c r="C473" i="29"/>
  <c r="E469" i="29"/>
  <c r="D469" i="29"/>
  <c r="C469" i="29"/>
  <c r="C481" i="29" s="1"/>
  <c r="C483" i="29" s="1"/>
  <c r="C488" i="29" s="1"/>
  <c r="C489" i="29" s="1"/>
  <c r="D509" i="29" s="1"/>
  <c r="D413" i="29"/>
  <c r="D404" i="29"/>
  <c r="E386" i="29" s="1"/>
  <c r="H442" i="29" s="1"/>
  <c r="B399" i="29"/>
  <c r="B398" i="29"/>
  <c r="B397" i="29"/>
  <c r="D386" i="29"/>
  <c r="H441" i="29" s="1"/>
  <c r="C386" i="29"/>
  <c r="H440" i="29" s="1"/>
  <c r="D383" i="29"/>
  <c r="C383" i="29"/>
  <c r="F383" i="29" s="1"/>
  <c r="E382" i="29"/>
  <c r="D382" i="29"/>
  <c r="D384" i="29" s="1"/>
  <c r="C382" i="29"/>
  <c r="D359" i="29"/>
  <c r="F337" i="29" s="1"/>
  <c r="E354" i="29"/>
  <c r="E353" i="29"/>
  <c r="E352" i="29"/>
  <c r="E337" i="29"/>
  <c r="D337" i="29"/>
  <c r="F336" i="29"/>
  <c r="E336" i="29"/>
  <c r="E338" i="29" s="1"/>
  <c r="D336" i="29"/>
  <c r="C313" i="29"/>
  <c r="E289" i="29" s="1"/>
  <c r="B303" i="29"/>
  <c r="B302" i="29"/>
  <c r="B301" i="29"/>
  <c r="D294" i="29"/>
  <c r="E288" i="29"/>
  <c r="E287" i="29"/>
  <c r="H242" i="29"/>
  <c r="H241" i="29" s="1"/>
  <c r="I241" i="29" s="1"/>
  <c r="I240" i="29"/>
  <c r="L203" i="29"/>
  <c r="J187" i="29"/>
  <c r="J188" i="29" s="1"/>
  <c r="K187" i="29"/>
  <c r="K186" i="29"/>
  <c r="J183" i="29"/>
  <c r="J182" i="29"/>
  <c r="E172" i="29"/>
  <c r="E170" i="29"/>
  <c r="F159" i="29"/>
  <c r="D135" i="29"/>
  <c r="E165" i="29" s="1"/>
  <c r="D146" i="29"/>
  <c r="F135" i="29" s="1"/>
  <c r="E167" i="29" s="1"/>
  <c r="C143" i="29"/>
  <c r="E135" i="29"/>
  <c r="E132" i="29"/>
  <c r="D132" i="29"/>
  <c r="G132" i="29" s="1"/>
  <c r="E131" i="29"/>
  <c r="D131" i="29"/>
  <c r="E85" i="29"/>
  <c r="D85" i="29"/>
  <c r="C85" i="29"/>
  <c r="F84" i="29"/>
  <c r="E50" i="29"/>
  <c r="E49" i="29"/>
  <c r="E48" i="29"/>
  <c r="E535" i="11"/>
  <c r="D535" i="11"/>
  <c r="C535" i="11"/>
  <c r="E534" i="11"/>
  <c r="D534" i="11"/>
  <c r="C534" i="11"/>
  <c r="E537" i="11"/>
  <c r="D537" i="11"/>
  <c r="C537" i="11"/>
  <c r="J541" i="11"/>
  <c r="J540" i="11"/>
  <c r="J539" i="11"/>
  <c r="E533" i="11"/>
  <c r="D533" i="11"/>
  <c r="C533" i="11"/>
  <c r="J204" i="11"/>
  <c r="I204" i="11"/>
  <c r="H204" i="11"/>
  <c r="H201" i="11" s="1"/>
  <c r="I201" i="11" s="1"/>
  <c r="J201" i="11" s="1"/>
  <c r="H200" i="11"/>
  <c r="H202" i="11" s="1"/>
  <c r="I200" i="11"/>
  <c r="F125" i="11"/>
  <c r="G125" i="11" s="1"/>
  <c r="E125" i="11"/>
  <c r="D125" i="11"/>
  <c r="B125" i="11"/>
  <c r="C125" i="11"/>
  <c r="B122" i="11"/>
  <c r="C122" i="11" s="1"/>
  <c r="D122" i="11" s="1"/>
  <c r="E122" i="11" s="1"/>
  <c r="F122" i="11" s="1"/>
  <c r="B121" i="11"/>
  <c r="J430" i="11"/>
  <c r="B423" i="11" s="1"/>
  <c r="B420" i="11" s="1"/>
  <c r="J424" i="11"/>
  <c r="C90" i="11"/>
  <c r="K153" i="9"/>
  <c r="K144" i="9"/>
  <c r="K151" i="9"/>
  <c r="K150" i="9"/>
  <c r="K143" i="9"/>
  <c r="K142" i="9"/>
  <c r="K149" i="9"/>
  <c r="K141" i="9"/>
  <c r="F147" i="9"/>
  <c r="E147" i="9"/>
  <c r="F153" i="9"/>
  <c r="E148" i="9"/>
  <c r="F152" i="9"/>
  <c r="F154" i="9"/>
  <c r="B148" i="9"/>
  <c r="B145" i="9"/>
  <c r="F143" i="9"/>
  <c r="E143" i="9"/>
  <c r="E144" i="9"/>
  <c r="B144" i="9"/>
  <c r="F81" i="9"/>
  <c r="E90" i="9" s="1"/>
  <c r="E81" i="9"/>
  <c r="E82" i="9"/>
  <c r="B82" i="9"/>
  <c r="C80" i="9"/>
  <c r="F76" i="9"/>
  <c r="E76" i="9"/>
  <c r="E77" i="9"/>
  <c r="D87" i="9" s="1"/>
  <c r="B77" i="9"/>
  <c r="D86" i="9" s="1"/>
  <c r="D577" i="11"/>
  <c r="D574" i="11"/>
  <c r="D572" i="11"/>
  <c r="D569" i="11"/>
  <c r="C512" i="11"/>
  <c r="E492" i="11" s="1"/>
  <c r="C509" i="11"/>
  <c r="C507" i="11"/>
  <c r="D492" i="11"/>
  <c r="C492" i="11"/>
  <c r="C489" i="11"/>
  <c r="D488" i="11"/>
  <c r="J474" i="11"/>
  <c r="J473" i="11"/>
  <c r="J472" i="11"/>
  <c r="C453" i="11"/>
  <c r="C451" i="11"/>
  <c r="C449" i="11"/>
  <c r="C447" i="11"/>
  <c r="D416" i="11"/>
  <c r="B419" i="11" s="1"/>
  <c r="E380" i="11"/>
  <c r="D361" i="11"/>
  <c r="D346" i="11"/>
  <c r="D343" i="11" s="1"/>
  <c r="E343" i="11" s="1"/>
  <c r="F343" i="11" s="1"/>
  <c r="G343" i="11" s="1"/>
  <c r="D342" i="11"/>
  <c r="E318" i="11"/>
  <c r="H287" i="11" s="1"/>
  <c r="E310" i="11"/>
  <c r="E307" i="11"/>
  <c r="D285" i="11" s="1"/>
  <c r="H285" i="11"/>
  <c r="D281" i="11"/>
  <c r="E253" i="11"/>
  <c r="H137" i="11"/>
  <c r="H141" i="11" s="1"/>
  <c r="H104" i="11"/>
  <c r="E140" i="9"/>
  <c r="D90" i="9"/>
  <c r="E184" i="9"/>
  <c r="D183" i="9"/>
  <c r="B180" i="9"/>
  <c r="F110" i="9"/>
  <c r="F108" i="9"/>
  <c r="D105" i="9"/>
  <c r="E99" i="9"/>
  <c r="C34" i="9"/>
  <c r="E181" i="20"/>
  <c r="E134" i="20"/>
  <c r="D134" i="20"/>
  <c r="D98" i="20"/>
  <c r="E147" i="20"/>
  <c r="F121" i="20"/>
  <c r="C106" i="5"/>
  <c r="D106" i="5" s="1"/>
  <c r="D105" i="5" s="1"/>
  <c r="D86" i="5"/>
  <c r="E86" i="5" s="1"/>
  <c r="E85" i="5" s="1"/>
  <c r="H270" i="5"/>
  <c r="H271" i="5"/>
  <c r="H272" i="5"/>
  <c r="H273" i="5"/>
  <c r="H269" i="5"/>
  <c r="A271" i="5"/>
  <c r="A272" i="5" s="1"/>
  <c r="A273" i="5" s="1"/>
  <c r="B255" i="5"/>
  <c r="B256" i="5" s="1"/>
  <c r="B257" i="5" s="1"/>
  <c r="K216" i="19"/>
  <c r="I213" i="19"/>
  <c r="G221" i="10"/>
  <c r="H94" i="10"/>
  <c r="L95" i="10"/>
  <c r="L94" i="10"/>
  <c r="L93" i="10"/>
  <c r="L92" i="10"/>
  <c r="L96" i="10" s="1"/>
  <c r="H93" i="10" s="1"/>
  <c r="H92" i="10"/>
  <c r="D94" i="10"/>
  <c r="D93" i="10"/>
  <c r="D92" i="10"/>
  <c r="K237" i="1"/>
  <c r="F137" i="1"/>
  <c r="F136" i="1"/>
  <c r="C134" i="1" s="1"/>
  <c r="D136" i="1"/>
  <c r="D128" i="1"/>
  <c r="C116" i="1"/>
  <c r="E134" i="28"/>
  <c r="D134" i="28"/>
  <c r="C134" i="28"/>
  <c r="E142" i="28"/>
  <c r="E144" i="28"/>
  <c r="E132" i="28"/>
  <c r="D132" i="28"/>
  <c r="C132" i="28"/>
  <c r="E131" i="28"/>
  <c r="D131" i="28"/>
  <c r="C131" i="28"/>
  <c r="H130" i="28"/>
  <c r="E108" i="28"/>
  <c r="C103" i="28"/>
  <c r="E107" i="28"/>
  <c r="E103" i="28"/>
  <c r="F103" i="28"/>
  <c r="F101" i="28"/>
  <c r="E101" i="28"/>
  <c r="D101" i="28"/>
  <c r="C101" i="28"/>
  <c r="F100" i="28"/>
  <c r="E100" i="28"/>
  <c r="D100" i="28"/>
  <c r="C100" i="28"/>
  <c r="D103" i="28"/>
  <c r="F99" i="28"/>
  <c r="E99" i="28"/>
  <c r="E73" i="28"/>
  <c r="E78" i="28" s="1"/>
  <c r="C73" i="28"/>
  <c r="E77" i="28" s="1"/>
  <c r="E71" i="28"/>
  <c r="E67" i="28"/>
  <c r="I39" i="28"/>
  <c r="I38" i="28"/>
  <c r="I37" i="28"/>
  <c r="I36" i="28"/>
  <c r="C9" i="28"/>
  <c r="C273" i="23"/>
  <c r="C52" i="23"/>
  <c r="D672" i="12"/>
  <c r="D642" i="12"/>
  <c r="C416" i="12"/>
  <c r="C413" i="12"/>
  <c r="G1033" i="11"/>
  <c r="F1031" i="11"/>
  <c r="G1031" i="11" s="1"/>
  <c r="E1031" i="11"/>
  <c r="D1031" i="11"/>
  <c r="D1028" i="11" s="1"/>
  <c r="D1027" i="11"/>
  <c r="F1002" i="11"/>
  <c r="G1002" i="11" s="1"/>
  <c r="E1002" i="11"/>
  <c r="D1002" i="11"/>
  <c r="D999" i="11" s="1"/>
  <c r="E999" i="11" s="1"/>
  <c r="D998" i="11"/>
  <c r="D1000" i="11" s="1"/>
  <c r="J997" i="11"/>
  <c r="F998" i="11"/>
  <c r="E998" i="11"/>
  <c r="E1000" i="11" s="1"/>
  <c r="E801" i="11"/>
  <c r="E802" i="11" s="1"/>
  <c r="K801" i="11" s="1"/>
  <c r="K802" i="11" s="1"/>
  <c r="E808" i="11" s="1"/>
  <c r="E784" i="11"/>
  <c r="C671" i="11"/>
  <c r="C668" i="11" s="1"/>
  <c r="G671" i="11"/>
  <c r="H671" i="11" s="1"/>
  <c r="F671" i="11"/>
  <c r="E671" i="11"/>
  <c r="D671" i="11"/>
  <c r="J672" i="11"/>
  <c r="E645" i="11"/>
  <c r="D622" i="11"/>
  <c r="E622" i="11" s="1"/>
  <c r="F622" i="11" s="1"/>
  <c r="G622" i="11" s="1"/>
  <c r="H622" i="11" s="1"/>
  <c r="C622" i="11"/>
  <c r="C619" i="11" s="1"/>
  <c r="C618" i="11"/>
  <c r="D618" i="11" s="1"/>
  <c r="C256" i="20"/>
  <c r="D237" i="20"/>
  <c r="I298" i="19"/>
  <c r="I293" i="19"/>
  <c r="I274" i="19"/>
  <c r="I269" i="19"/>
  <c r="D226" i="10" l="1"/>
  <c r="D225" i="10"/>
  <c r="D256" i="10"/>
  <c r="D249" i="10"/>
  <c r="D233" i="10"/>
  <c r="D228" i="10"/>
  <c r="H247" i="10"/>
  <c r="D247" i="10"/>
  <c r="D254" i="10"/>
  <c r="D229" i="10"/>
  <c r="D246" i="10"/>
  <c r="D251" i="10" s="1"/>
  <c r="E209" i="10"/>
  <c r="E218" i="10" s="1"/>
  <c r="D234" i="10"/>
  <c r="F209" i="10"/>
  <c r="G218" i="10" s="1"/>
  <c r="H246" i="10"/>
  <c r="H249" i="10" s="1"/>
  <c r="H257" i="10" s="1"/>
  <c r="D257" i="10"/>
  <c r="K305" i="32"/>
  <c r="J311" i="32"/>
  <c r="L304" i="32"/>
  <c r="M304" i="32" s="1"/>
  <c r="K281" i="32"/>
  <c r="K282" i="32" s="1"/>
  <c r="L293" i="32" s="1"/>
  <c r="N294" i="32" s="1"/>
  <c r="L303" i="32" s="1"/>
  <c r="E130" i="32"/>
  <c r="F288" i="32"/>
  <c r="F289" i="32" s="1"/>
  <c r="F299" i="32" s="1"/>
  <c r="F300" i="32"/>
  <c r="O213" i="32"/>
  <c r="O212" i="32"/>
  <c r="O215" i="32"/>
  <c r="O218" i="32" s="1"/>
  <c r="Q218" i="32"/>
  <c r="M218" i="32"/>
  <c r="L214" i="32"/>
  <c r="L218" i="32" s="1"/>
  <c r="M198" i="32"/>
  <c r="M200" i="32" s="1"/>
  <c r="K195" i="32"/>
  <c r="N198" i="32" s="1"/>
  <c r="N200" i="32" s="1"/>
  <c r="E146" i="32"/>
  <c r="E150" i="32" s="1"/>
  <c r="N202" i="32"/>
  <c r="N194" i="32"/>
  <c r="O195" i="32"/>
  <c r="M202" i="32"/>
  <c r="O190" i="32"/>
  <c r="E177" i="32"/>
  <c r="E169" i="32" s="1"/>
  <c r="E170" i="32" s="1"/>
  <c r="F100" i="32"/>
  <c r="D246" i="31"/>
  <c r="D249" i="31" s="1"/>
  <c r="D256" i="31"/>
  <c r="D257" i="31" s="1"/>
  <c r="D308" i="30"/>
  <c r="P325" i="30"/>
  <c r="M268" i="30" s="1"/>
  <c r="E44" i="30"/>
  <c r="H44" i="30"/>
  <c r="M267" i="30"/>
  <c r="D237" i="30"/>
  <c r="L241" i="30"/>
  <c r="M241" i="30" s="1"/>
  <c r="H303" i="30" s="1"/>
  <c r="P319" i="30" s="1"/>
  <c r="M269" i="30" s="1"/>
  <c r="D239" i="30"/>
  <c r="D240" i="30" s="1"/>
  <c r="L240" i="30"/>
  <c r="M240" i="30" s="1"/>
  <c r="D288" i="30" s="1"/>
  <c r="D19" i="30"/>
  <c r="D44" i="30" s="1"/>
  <c r="D164" i="30"/>
  <c r="D166" i="30" s="1"/>
  <c r="F256" i="12"/>
  <c r="F255" i="12"/>
  <c r="D261" i="12"/>
  <c r="E257" i="12"/>
  <c r="F127" i="12"/>
  <c r="D161" i="12"/>
  <c r="F187" i="12"/>
  <c r="F160" i="12"/>
  <c r="F159" i="12"/>
  <c r="L187" i="12"/>
  <c r="F57" i="12"/>
  <c r="D121" i="12"/>
  <c r="D122" i="12"/>
  <c r="B123" i="12"/>
  <c r="D52" i="12"/>
  <c r="B53" i="12"/>
  <c r="D51" i="12"/>
  <c r="C470" i="29"/>
  <c r="D498" i="29"/>
  <c r="D499" i="29" s="1"/>
  <c r="D414" i="29"/>
  <c r="D419" i="29" s="1"/>
  <c r="D420" i="29" s="1"/>
  <c r="H447" i="29"/>
  <c r="F386" i="29"/>
  <c r="H439" i="29" s="1"/>
  <c r="G337" i="29"/>
  <c r="C384" i="29"/>
  <c r="F382" i="29"/>
  <c r="F384" i="29" s="1"/>
  <c r="E51" i="29"/>
  <c r="F338" i="29"/>
  <c r="G336" i="29"/>
  <c r="G338" i="29" s="1"/>
  <c r="D338" i="29"/>
  <c r="E290" i="29"/>
  <c r="E133" i="29"/>
  <c r="K188" i="29"/>
  <c r="K195" i="29" s="1"/>
  <c r="K196" i="29" s="1"/>
  <c r="I242" i="29"/>
  <c r="G135" i="29"/>
  <c r="E164" i="29" s="1"/>
  <c r="E166" i="29"/>
  <c r="E171" i="29"/>
  <c r="F160" i="29"/>
  <c r="F153" i="29" s="1"/>
  <c r="G131" i="29"/>
  <c r="G133" i="29" s="1"/>
  <c r="D133" i="29"/>
  <c r="D102" i="29"/>
  <c r="E86" i="29"/>
  <c r="D95" i="29"/>
  <c r="D86" i="29"/>
  <c r="D88" i="29"/>
  <c r="C86" i="29"/>
  <c r="F85" i="29"/>
  <c r="F86" i="29" s="1"/>
  <c r="J200" i="11"/>
  <c r="J202" i="11" s="1"/>
  <c r="K206" i="11" s="1"/>
  <c r="I202" i="11"/>
  <c r="B123" i="11"/>
  <c r="C121" i="11"/>
  <c r="B421" i="11"/>
  <c r="F999" i="11"/>
  <c r="F1000" i="11" s="1"/>
  <c r="G1004" i="11" s="1"/>
  <c r="E1028" i="11"/>
  <c r="F1028" i="11" s="1"/>
  <c r="J431" i="11"/>
  <c r="C423" i="11" s="1"/>
  <c r="C420" i="11" s="1"/>
  <c r="J425" i="11"/>
  <c r="D90" i="11"/>
  <c r="E90" i="11" s="1"/>
  <c r="C87" i="11"/>
  <c r="C419" i="11"/>
  <c r="D297" i="11"/>
  <c r="D282" i="11"/>
  <c r="C490" i="11"/>
  <c r="D489" i="11"/>
  <c r="E488" i="11"/>
  <c r="D352" i="11"/>
  <c r="D344" i="11"/>
  <c r="E342" i="11"/>
  <c r="E281" i="11"/>
  <c r="E1027" i="11"/>
  <c r="D1029" i="11"/>
  <c r="E193" i="9"/>
  <c r="C193" i="9"/>
  <c r="F184" i="9"/>
  <c r="F185" i="9" s="1"/>
  <c r="B189" i="9"/>
  <c r="B185" i="9"/>
  <c r="E180" i="9"/>
  <c r="E86" i="9"/>
  <c r="E87" i="9"/>
  <c r="D88" i="9"/>
  <c r="H209" i="10"/>
  <c r="I209" i="10"/>
  <c r="D95" i="10"/>
  <c r="D100" i="10" s="1"/>
  <c r="H95" i="10"/>
  <c r="D101" i="10" s="1"/>
  <c r="C135" i="1"/>
  <c r="C136" i="1" s="1"/>
  <c r="F138" i="1"/>
  <c r="C117" i="1"/>
  <c r="C118" i="1" s="1"/>
  <c r="C126" i="1"/>
  <c r="C127" i="1" s="1"/>
  <c r="C128" i="1" s="1"/>
  <c r="E72" i="28"/>
  <c r="E79" i="28"/>
  <c r="D619" i="11"/>
  <c r="D668" i="11"/>
  <c r="C669" i="11"/>
  <c r="E618" i="11"/>
  <c r="C620" i="11"/>
  <c r="E482" i="10"/>
  <c r="E481" i="10"/>
  <c r="E483" i="10"/>
  <c r="D480" i="10"/>
  <c r="E478" i="10"/>
  <c r="E477" i="10"/>
  <c r="E476" i="10"/>
  <c r="D475" i="10"/>
  <c r="D486" i="10" s="1"/>
  <c r="C491" i="10" s="1"/>
  <c r="C190" i="1"/>
  <c r="D227" i="10" l="1"/>
  <c r="D232" i="10" s="1"/>
  <c r="D235" i="10" s="1"/>
  <c r="D237" i="10" s="1"/>
  <c r="H263" i="10" s="1"/>
  <c r="H264" i="10" s="1"/>
  <c r="H266" i="10" s="1"/>
  <c r="D266" i="10"/>
  <c r="M303" i="32"/>
  <c r="L305" i="32"/>
  <c r="M305" i="32" s="1"/>
  <c r="F303" i="32"/>
  <c r="F301" i="32"/>
  <c r="E258" i="12"/>
  <c r="F258" i="12" s="1"/>
  <c r="F261" i="12" s="1"/>
  <c r="E261" i="12"/>
  <c r="B57" i="12"/>
  <c r="C53" i="12"/>
  <c r="C57" i="12" s="1"/>
  <c r="E161" i="12"/>
  <c r="E162" i="12" s="1"/>
  <c r="D165" i="12"/>
  <c r="D57" i="12"/>
  <c r="C123" i="12"/>
  <c r="B127" i="12"/>
  <c r="C471" i="29"/>
  <c r="D470" i="29"/>
  <c r="E388" i="29"/>
  <c r="H448" i="29"/>
  <c r="C421" i="11"/>
  <c r="D121" i="11"/>
  <c r="C123" i="11"/>
  <c r="E489" i="11"/>
  <c r="E490" i="11" s="1"/>
  <c r="D490" i="11"/>
  <c r="J432" i="11"/>
  <c r="D423" i="11" s="1"/>
  <c r="D420" i="11" s="1"/>
  <c r="J426" i="11"/>
  <c r="J433" i="11" s="1"/>
  <c r="E423" i="11" s="1"/>
  <c r="D87" i="11"/>
  <c r="C88" i="11"/>
  <c r="D419" i="11"/>
  <c r="E282" i="11"/>
  <c r="D283" i="11"/>
  <c r="E344" i="11"/>
  <c r="F342" i="11"/>
  <c r="F281" i="11"/>
  <c r="F1027" i="11"/>
  <c r="F1029" i="11" s="1"/>
  <c r="E1029" i="11"/>
  <c r="E619" i="11"/>
  <c r="D620" i="11"/>
  <c r="E88" i="9"/>
  <c r="E185" i="9"/>
  <c r="C190" i="9" s="1"/>
  <c r="C189" i="9"/>
  <c r="E179" i="9"/>
  <c r="B190" i="9"/>
  <c r="B191" i="9" s="1"/>
  <c r="D102" i="10"/>
  <c r="E486" i="10"/>
  <c r="C492" i="10" s="1"/>
  <c r="C493" i="10" s="1"/>
  <c r="D669" i="11"/>
  <c r="E668" i="11"/>
  <c r="F618" i="11"/>
  <c r="B313" i="23"/>
  <c r="F276" i="32" l="1"/>
  <c r="F319" i="32"/>
  <c r="E306" i="32"/>
  <c r="F320" i="32" s="1"/>
  <c r="F321" i="32" s="1"/>
  <c r="F277" i="32"/>
  <c r="E165" i="12"/>
  <c r="F162" i="12"/>
  <c r="F165" i="12" s="1"/>
  <c r="C124" i="12"/>
  <c r="D471" i="29"/>
  <c r="E470" i="29"/>
  <c r="E471" i="29" s="1"/>
  <c r="F282" i="11"/>
  <c r="G282" i="11" s="1"/>
  <c r="E283" i="11"/>
  <c r="D421" i="11"/>
  <c r="E121" i="11"/>
  <c r="D123" i="11"/>
  <c r="E420" i="11"/>
  <c r="D88" i="11"/>
  <c r="E87" i="11"/>
  <c r="E88" i="11" s="1"/>
  <c r="E419" i="11"/>
  <c r="E421" i="11" s="1"/>
  <c r="F619" i="11"/>
  <c r="G619" i="11" s="1"/>
  <c r="E620" i="11"/>
  <c r="F344" i="11"/>
  <c r="G342" i="11"/>
  <c r="G344" i="11" s="1"/>
  <c r="H348" i="11" s="1"/>
  <c r="G281" i="11"/>
  <c r="G283" i="11" s="1"/>
  <c r="F283" i="11"/>
  <c r="F179" i="9"/>
  <c r="F180" i="9" s="1"/>
  <c r="B193" i="9"/>
  <c r="C191" i="9"/>
  <c r="F668" i="11"/>
  <c r="E669" i="11"/>
  <c r="F620" i="11"/>
  <c r="G618" i="11"/>
  <c r="G620" i="11" s="1"/>
  <c r="H624" i="11" s="1"/>
  <c r="F292" i="23"/>
  <c r="B897" i="12"/>
  <c r="C866" i="12" s="1"/>
  <c r="G867" i="12" s="1"/>
  <c r="B889" i="12"/>
  <c r="C854" i="12" s="1"/>
  <c r="G865" i="12"/>
  <c r="G864" i="12"/>
  <c r="G863" i="12"/>
  <c r="G862" i="12"/>
  <c r="G861" i="12"/>
  <c r="F860" i="12"/>
  <c r="G859" i="12"/>
  <c r="D858" i="12"/>
  <c r="C857" i="12"/>
  <c r="C856" i="12"/>
  <c r="F855" i="12"/>
  <c r="C853" i="12"/>
  <c r="G851" i="12"/>
  <c r="G850" i="12"/>
  <c r="E849" i="12"/>
  <c r="D848" i="12"/>
  <c r="D847" i="12"/>
  <c r="D846" i="12"/>
  <c r="C845" i="12"/>
  <c r="F844" i="12"/>
  <c r="C843" i="12"/>
  <c r="C842" i="12"/>
  <c r="G841" i="12"/>
  <c r="C840" i="12"/>
  <c r="C678" i="12"/>
  <c r="E615" i="12"/>
  <c r="F491" i="12"/>
  <c r="F431" i="12"/>
  <c r="F430" i="12"/>
  <c r="G429" i="12"/>
  <c r="G428" i="12"/>
  <c r="G427" i="12"/>
  <c r="G426" i="12"/>
  <c r="G425" i="12"/>
  <c r="G424" i="12"/>
  <c r="F423" i="12"/>
  <c r="G422" i="12"/>
  <c r="C421" i="12"/>
  <c r="C420" i="12"/>
  <c r="C419" i="12"/>
  <c r="F418" i="12"/>
  <c r="G417" i="12"/>
  <c r="E611" i="12"/>
  <c r="G412" i="12"/>
  <c r="E411" i="12"/>
  <c r="D410" i="12"/>
  <c r="D409" i="12"/>
  <c r="D408" i="12"/>
  <c r="C407" i="12"/>
  <c r="F406" i="12"/>
  <c r="C405" i="12"/>
  <c r="C404" i="12"/>
  <c r="E806" i="11"/>
  <c r="E781" i="11"/>
  <c r="E785" i="11" s="1"/>
  <c r="C745" i="11"/>
  <c r="C746" i="11" s="1"/>
  <c r="C747" i="11" s="1"/>
  <c r="C748" i="11" s="1"/>
  <c r="B745" i="11"/>
  <c r="B746" i="11" s="1"/>
  <c r="C741" i="11"/>
  <c r="D741" i="11"/>
  <c r="E741" i="11"/>
  <c r="F741" i="11"/>
  <c r="B741" i="11"/>
  <c r="C719" i="11"/>
  <c r="D719" i="11" s="1"/>
  <c r="D713" i="11"/>
  <c r="F723" i="11" s="1"/>
  <c r="G723" i="11" s="1"/>
  <c r="D709" i="11"/>
  <c r="E723" i="11" s="1"/>
  <c r="D707" i="11"/>
  <c r="D723" i="11" s="1"/>
  <c r="D705" i="11"/>
  <c r="C723" i="11" s="1"/>
  <c r="D699" i="11"/>
  <c r="B720" i="11" s="1"/>
  <c r="A686" i="11"/>
  <c r="C650" i="11"/>
  <c r="F654" i="11"/>
  <c r="G654" i="11" s="1"/>
  <c r="E644" i="11"/>
  <c r="E654" i="11" s="1"/>
  <c r="E643" i="11"/>
  <c r="D654" i="11" s="1"/>
  <c r="E642" i="11"/>
  <c r="C654" i="11" s="1"/>
  <c r="E641" i="11"/>
  <c r="B654" i="11" s="1"/>
  <c r="D633" i="11"/>
  <c r="D124" i="12" l="1"/>
  <c r="D127" i="12" s="1"/>
  <c r="C127" i="12"/>
  <c r="D868" i="12"/>
  <c r="E123" i="11"/>
  <c r="F121" i="11"/>
  <c r="F123" i="11" s="1"/>
  <c r="F669" i="11"/>
  <c r="G668" i="11"/>
  <c r="G669" i="11" s="1"/>
  <c r="F868" i="12"/>
  <c r="C868" i="12"/>
  <c r="G868" i="12"/>
  <c r="C434" i="12"/>
  <c r="G434" i="12"/>
  <c r="F434" i="12"/>
  <c r="D434" i="12"/>
  <c r="E788" i="11"/>
  <c r="F745" i="11"/>
  <c r="F746" i="11"/>
  <c r="B747" i="11"/>
  <c r="B721" i="11"/>
  <c r="C720" i="11"/>
  <c r="D720" i="11" s="1"/>
  <c r="E720" i="11" s="1"/>
  <c r="F720" i="11" s="1"/>
  <c r="B723" i="11"/>
  <c r="E719" i="11"/>
  <c r="B651" i="11"/>
  <c r="C651" i="11" s="1"/>
  <c r="D651" i="11" s="1"/>
  <c r="E651" i="11" s="1"/>
  <c r="F651" i="11" s="1"/>
  <c r="D650" i="11"/>
  <c r="H364" i="20"/>
  <c r="H363" i="20"/>
  <c r="E370" i="20"/>
  <c r="E369" i="20"/>
  <c r="H329" i="20"/>
  <c r="H328" i="20"/>
  <c r="H327" i="20"/>
  <c r="H326" i="20"/>
  <c r="C326" i="20"/>
  <c r="C327" i="20"/>
  <c r="C328" i="20"/>
  <c r="C329" i="20"/>
  <c r="C330" i="20"/>
  <c r="C325" i="20"/>
  <c r="C310" i="20"/>
  <c r="B310" i="20"/>
  <c r="E281" i="20"/>
  <c r="E128" i="19"/>
  <c r="E129" i="19" s="1"/>
  <c r="G77" i="19"/>
  <c r="H84" i="19"/>
  <c r="H83" i="19"/>
  <c r="H82" i="19"/>
  <c r="H81" i="19"/>
  <c r="E118" i="16"/>
  <c r="E116" i="16"/>
  <c r="E119" i="16" s="1"/>
  <c r="D117" i="16"/>
  <c r="D118" i="16"/>
  <c r="D116" i="16"/>
  <c r="E95" i="16"/>
  <c r="Q431" i="10"/>
  <c r="Q430" i="10"/>
  <c r="Q429" i="10"/>
  <c r="Q428" i="10"/>
  <c r="R427" i="10"/>
  <c r="P426" i="10"/>
  <c r="P425" i="10"/>
  <c r="Q423" i="10"/>
  <c r="P422" i="10"/>
  <c r="P421" i="10"/>
  <c r="P415" i="10"/>
  <c r="P413" i="10"/>
  <c r="P402" i="10"/>
  <c r="P401" i="10"/>
  <c r="H188" i="1"/>
  <c r="H183" i="1"/>
  <c r="G228" i="24"/>
  <c r="G231" i="24"/>
  <c r="G232" i="24" s="1"/>
  <c r="B214" i="24"/>
  <c r="B212" i="24"/>
  <c r="B210" i="24"/>
  <c r="B208" i="24"/>
  <c r="B209" i="24" s="1"/>
  <c r="G23" i="24"/>
  <c r="B200" i="24"/>
  <c r="B199" i="24"/>
  <c r="B182" i="24"/>
  <c r="B184" i="24" s="1"/>
  <c r="B185" i="24" s="1"/>
  <c r="B189" i="24" s="1"/>
  <c r="C36" i="24" s="1"/>
  <c r="D32" i="24"/>
  <c r="B166" i="24"/>
  <c r="B160" i="24"/>
  <c r="B165" i="24" s="1"/>
  <c r="B158" i="24"/>
  <c r="B145" i="24"/>
  <c r="B146" i="24" s="1"/>
  <c r="B152" i="24" s="1"/>
  <c r="B151" i="24" s="1"/>
  <c r="B157" i="24" s="1"/>
  <c r="B163" i="24" s="1"/>
  <c r="C135" i="24"/>
  <c r="C134" i="24"/>
  <c r="C133" i="24"/>
  <c r="B124" i="24"/>
  <c r="C30" i="24"/>
  <c r="G31" i="24" s="1"/>
  <c r="G32" i="24" s="1"/>
  <c r="D76" i="24"/>
  <c r="D65" i="24"/>
  <c r="G29" i="24"/>
  <c r="G28" i="24"/>
  <c r="G27" i="24"/>
  <c r="G26" i="24"/>
  <c r="G25" i="24"/>
  <c r="F24" i="24"/>
  <c r="D22" i="24"/>
  <c r="C21" i="24"/>
  <c r="B234" i="24" s="1"/>
  <c r="C20" i="24"/>
  <c r="F19" i="24"/>
  <c r="B215" i="24" s="1"/>
  <c r="G15" i="24"/>
  <c r="G14" i="24"/>
  <c r="E13" i="24"/>
  <c r="G235" i="24" s="1"/>
  <c r="D12" i="24"/>
  <c r="G225" i="24" s="1"/>
  <c r="D10" i="24"/>
  <c r="G226" i="24" s="1"/>
  <c r="C9" i="24"/>
  <c r="B227" i="24" s="1"/>
  <c r="F8" i="24"/>
  <c r="F32" i="24" s="1"/>
  <c r="C7" i="24"/>
  <c r="B225" i="24" s="1"/>
  <c r="C6" i="24"/>
  <c r="B226" i="24" s="1"/>
  <c r="G127" i="11" l="1"/>
  <c r="E184" i="11"/>
  <c r="E185" i="11" s="1"/>
  <c r="E371" i="20"/>
  <c r="Q432" i="10"/>
  <c r="P432" i="10"/>
  <c r="H190" i="1"/>
  <c r="E881" i="12"/>
  <c r="E789" i="11"/>
  <c r="E795" i="11"/>
  <c r="E796" i="11" s="1"/>
  <c r="C721" i="11"/>
  <c r="B748" i="11"/>
  <c r="F748" i="11" s="1"/>
  <c r="F747" i="11"/>
  <c r="B652" i="11"/>
  <c r="D721" i="11"/>
  <c r="C652" i="11"/>
  <c r="E721" i="11"/>
  <c r="F719" i="11"/>
  <c r="F721" i="11" s="1"/>
  <c r="D731" i="11" s="1"/>
  <c r="F734" i="11" s="1"/>
  <c r="E650" i="11"/>
  <c r="D652" i="11"/>
  <c r="H85" i="19"/>
  <c r="G76" i="19" s="1"/>
  <c r="F116" i="16"/>
  <c r="F118" i="16"/>
  <c r="D119" i="16"/>
  <c r="F117" i="16"/>
  <c r="B228" i="24"/>
  <c r="B229" i="24" s="1"/>
  <c r="G34" i="24"/>
  <c r="B211" i="24" s="1"/>
  <c r="B233" i="24"/>
  <c r="B235" i="24" s="1"/>
  <c r="B242" i="24" s="1"/>
  <c r="G242" i="24" s="1"/>
  <c r="B188" i="24"/>
  <c r="B159" i="24"/>
  <c r="B213" i="24"/>
  <c r="B216" i="24" s="1"/>
  <c r="C32" i="24"/>
  <c r="C136" i="24"/>
  <c r="B138" i="24" s="1"/>
  <c r="B139" i="24" s="1"/>
  <c r="E32" i="24"/>
  <c r="G358" i="23"/>
  <c r="H349" i="23" s="1"/>
  <c r="H350" i="23" s="1"/>
  <c r="H343" i="23"/>
  <c r="H338" i="23"/>
  <c r="D344" i="23"/>
  <c r="D346" i="23" s="1"/>
  <c r="D336" i="23"/>
  <c r="D340" i="23" s="1"/>
  <c r="B317" i="23"/>
  <c r="B329" i="23"/>
  <c r="B314" i="23" s="1"/>
  <c r="B311" i="23"/>
  <c r="B310" i="23"/>
  <c r="E304" i="23"/>
  <c r="D304" i="23"/>
  <c r="B318" i="23"/>
  <c r="B265" i="23"/>
  <c r="C301" i="23"/>
  <c r="C304" i="23"/>
  <c r="F246" i="23"/>
  <c r="B253" i="23" s="1"/>
  <c r="B231" i="23"/>
  <c r="F244" i="23" s="1"/>
  <c r="B209" i="23"/>
  <c r="B220" i="23" s="1"/>
  <c r="B221" i="23" s="1"/>
  <c r="B189" i="23"/>
  <c r="B196" i="23" s="1"/>
  <c r="G304" i="23" s="1"/>
  <c r="D135" i="23"/>
  <c r="E50" i="23" s="1"/>
  <c r="B93" i="23"/>
  <c r="B210" i="23" s="1"/>
  <c r="G63" i="23"/>
  <c r="G62" i="23"/>
  <c r="G61" i="23"/>
  <c r="G60" i="23"/>
  <c r="G59" i="23"/>
  <c r="F58" i="23"/>
  <c r="G57" i="23"/>
  <c r="D56" i="23"/>
  <c r="C55" i="23"/>
  <c r="C54" i="23"/>
  <c r="F53" i="23"/>
  <c r="C51" i="23"/>
  <c r="G49" i="23"/>
  <c r="G48" i="23"/>
  <c r="E47" i="23"/>
  <c r="D46" i="23"/>
  <c r="C45" i="23"/>
  <c r="D44" i="23"/>
  <c r="F43" i="23"/>
  <c r="C42" i="23"/>
  <c r="C41" i="23"/>
  <c r="G40" i="23"/>
  <c r="C39" i="23"/>
  <c r="F679" i="12"/>
  <c r="G571" i="12"/>
  <c r="D573" i="12"/>
  <c r="J68" i="22"/>
  <c r="J67" i="22"/>
  <c r="J66" i="22"/>
  <c r="H64" i="22"/>
  <c r="H63" i="22"/>
  <c r="H62" i="22"/>
  <c r="L50" i="22"/>
  <c r="K50" i="22"/>
  <c r="K51" i="22"/>
  <c r="H51" i="22"/>
  <c r="J60" i="22"/>
  <c r="J48" i="22"/>
  <c r="I41" i="22"/>
  <c r="L6" i="22"/>
  <c r="J5" i="22"/>
  <c r="I15" i="22"/>
  <c r="I17" i="22" s="1"/>
  <c r="H7" i="22" s="1"/>
  <c r="K7" i="22" s="1"/>
  <c r="L90" i="21"/>
  <c r="L88" i="21"/>
  <c r="L63" i="21"/>
  <c r="L61" i="21"/>
  <c r="B9" i="21"/>
  <c r="B12" i="21" s="1"/>
  <c r="C68" i="20"/>
  <c r="D68" i="20"/>
  <c r="C30" i="20"/>
  <c r="D30" i="20"/>
  <c r="D397" i="5"/>
  <c r="D394" i="5"/>
  <c r="D392" i="5"/>
  <c r="D389" i="5"/>
  <c r="D387" i="5"/>
  <c r="F394" i="5"/>
  <c r="F392" i="5"/>
  <c r="F389" i="5"/>
  <c r="F387" i="5"/>
  <c r="C394" i="5"/>
  <c r="C395" i="5" s="1"/>
  <c r="C389" i="5"/>
  <c r="C390" i="5" s="1"/>
  <c r="C387" i="5"/>
  <c r="C388" i="5" s="1"/>
  <c r="A389" i="5"/>
  <c r="A392" i="5"/>
  <c r="A394" i="5"/>
  <c r="A397" i="5"/>
  <c r="A387" i="5"/>
  <c r="D383" i="5"/>
  <c r="C397" i="5" s="1"/>
  <c r="C398" i="5" s="1"/>
  <c r="D362" i="5"/>
  <c r="J127" i="19"/>
  <c r="L130" i="19"/>
  <c r="H130" i="19" s="1"/>
  <c r="G124" i="19"/>
  <c r="F123" i="19"/>
  <c r="I122" i="19"/>
  <c r="C78" i="19"/>
  <c r="C81" i="19" s="1"/>
  <c r="G75" i="19"/>
  <c r="C47" i="19"/>
  <c r="F101" i="18"/>
  <c r="G100" i="18"/>
  <c r="C99" i="18"/>
  <c r="G99" i="18" s="1"/>
  <c r="G98" i="18"/>
  <c r="F97" i="18"/>
  <c r="G96" i="18"/>
  <c r="F95" i="18"/>
  <c r="G94" i="18"/>
  <c r="G93" i="18"/>
  <c r="G92" i="18"/>
  <c r="G91" i="18"/>
  <c r="G90" i="18"/>
  <c r="G89" i="18"/>
  <c r="G88" i="18"/>
  <c r="G87" i="18"/>
  <c r="F86" i="18"/>
  <c r="C85" i="18"/>
  <c r="C84" i="18"/>
  <c r="C83" i="18"/>
  <c r="E82" i="18"/>
  <c r="C81" i="18"/>
  <c r="C80" i="18"/>
  <c r="D79" i="18"/>
  <c r="D78" i="18"/>
  <c r="D77" i="18"/>
  <c r="C76" i="18"/>
  <c r="C75" i="18"/>
  <c r="E74" i="18"/>
  <c r="G63" i="18"/>
  <c r="F73" i="18"/>
  <c r="G72" i="18"/>
  <c r="C71" i="18"/>
  <c r="G70" i="18"/>
  <c r="D69" i="18"/>
  <c r="C68" i="18"/>
  <c r="G67" i="18"/>
  <c r="D66" i="18"/>
  <c r="C65" i="18"/>
  <c r="C64" i="18"/>
  <c r="C62" i="18"/>
  <c r="C61" i="18"/>
  <c r="E35" i="17"/>
  <c r="C19" i="17"/>
  <c r="C18" i="17"/>
  <c r="C23" i="17" s="1"/>
  <c r="G412" i="10"/>
  <c r="D138" i="16"/>
  <c r="G402" i="10" s="1"/>
  <c r="G406" i="10" s="1"/>
  <c r="D130" i="16"/>
  <c r="D106" i="16"/>
  <c r="D62" i="16"/>
  <c r="D44" i="16"/>
  <c r="D388" i="10" s="1"/>
  <c r="E23" i="16"/>
  <c r="E22" i="16"/>
  <c r="E21" i="16"/>
  <c r="E380" i="10"/>
  <c r="F358" i="10"/>
  <c r="F357" i="10"/>
  <c r="F356" i="10"/>
  <c r="G409" i="10" s="1"/>
  <c r="F355" i="10"/>
  <c r="G354" i="10"/>
  <c r="E353" i="10"/>
  <c r="C411" i="10" s="1"/>
  <c r="C413" i="10" s="1"/>
  <c r="E352" i="10"/>
  <c r="I351" i="10"/>
  <c r="D385" i="10" s="1"/>
  <c r="F350" i="10"/>
  <c r="E349" i="10"/>
  <c r="E348" i="10"/>
  <c r="H347" i="10"/>
  <c r="D384" i="10" s="1"/>
  <c r="I346" i="10"/>
  <c r="I345" i="10"/>
  <c r="D32" i="16" s="1"/>
  <c r="I344" i="10"/>
  <c r="D31" i="16" s="1"/>
  <c r="I343" i="10"/>
  <c r="E342" i="10"/>
  <c r="I341" i="10"/>
  <c r="E340" i="10"/>
  <c r="I338" i="10"/>
  <c r="H337" i="10"/>
  <c r="I336" i="10"/>
  <c r="H335" i="10"/>
  <c r="I334" i="10"/>
  <c r="I333" i="10"/>
  <c r="D30" i="16" s="1"/>
  <c r="I332" i="10"/>
  <c r="D29" i="16" s="1"/>
  <c r="I331" i="10"/>
  <c r="I330" i="10"/>
  <c r="E329" i="10"/>
  <c r="E328" i="10"/>
  <c r="A20" i="15"/>
  <c r="A23" i="15" s="1"/>
  <c r="A25" i="15" s="1"/>
  <c r="A26" i="15" s="1"/>
  <c r="A27" i="15" s="1"/>
  <c r="A28" i="15" s="1"/>
  <c r="A29" i="15" s="1"/>
  <c r="A30" i="15" s="1"/>
  <c r="A31" i="15" s="1"/>
  <c r="A32" i="15" s="1"/>
  <c r="F79" i="14"/>
  <c r="G78" i="14"/>
  <c r="G77" i="14"/>
  <c r="F76" i="14"/>
  <c r="F75" i="14"/>
  <c r="G74" i="14"/>
  <c r="G73" i="14"/>
  <c r="G72" i="14"/>
  <c r="G71" i="14"/>
  <c r="G70" i="14"/>
  <c r="G69" i="14"/>
  <c r="G68" i="14"/>
  <c r="C67" i="14"/>
  <c r="C66" i="14"/>
  <c r="C65" i="14"/>
  <c r="E64" i="14"/>
  <c r="C63" i="14"/>
  <c r="D62" i="14"/>
  <c r="D61" i="14"/>
  <c r="D60" i="14"/>
  <c r="C59" i="14"/>
  <c r="C58" i="14"/>
  <c r="E57" i="14"/>
  <c r="G56" i="14"/>
  <c r="C55" i="14"/>
  <c r="G54" i="14"/>
  <c r="D53" i="14"/>
  <c r="C52" i="14"/>
  <c r="D51" i="14"/>
  <c r="C50" i="14"/>
  <c r="C49" i="14"/>
  <c r="C48" i="14"/>
  <c r="C47" i="14"/>
  <c r="P293" i="13"/>
  <c r="P285" i="13"/>
  <c r="P284" i="13"/>
  <c r="P283" i="13"/>
  <c r="P277" i="13"/>
  <c r="P276" i="13"/>
  <c r="P275" i="13"/>
  <c r="L277" i="13"/>
  <c r="L286" i="13"/>
  <c r="L280" i="13"/>
  <c r="L293" i="13" s="1"/>
  <c r="L285" i="13"/>
  <c r="L284" i="13"/>
  <c r="L283" i="13"/>
  <c r="L279" i="13"/>
  <c r="L278" i="13"/>
  <c r="L276" i="13"/>
  <c r="L275" i="13"/>
  <c r="L265" i="13"/>
  <c r="L268" i="13" s="1"/>
  <c r="L264" i="13"/>
  <c r="L267" i="13"/>
  <c r="L266" i="13"/>
  <c r="L263" i="13"/>
  <c r="L262" i="13"/>
  <c r="L260" i="13"/>
  <c r="L259" i="13"/>
  <c r="G295" i="13"/>
  <c r="F295" i="13"/>
  <c r="E295" i="13"/>
  <c r="D295" i="13"/>
  <c r="C295" i="13"/>
  <c r="F294" i="13"/>
  <c r="C291" i="13"/>
  <c r="C275" i="13"/>
  <c r="C261" i="13"/>
  <c r="D237" i="13"/>
  <c r="D228" i="13"/>
  <c r="D231" i="13" s="1"/>
  <c r="D230" i="13" s="1"/>
  <c r="D234" i="13" s="1"/>
  <c r="D226" i="13"/>
  <c r="D236" i="13" s="1"/>
  <c r="F216" i="13"/>
  <c r="D218" i="13" s="1"/>
  <c r="D195" i="13"/>
  <c r="D196" i="13" s="1"/>
  <c r="D203" i="13" s="1"/>
  <c r="D204" i="13" s="1"/>
  <c r="G259" i="13"/>
  <c r="F158" i="13"/>
  <c r="E139" i="13"/>
  <c r="E141" i="13" s="1"/>
  <c r="H124" i="13"/>
  <c r="H125" i="13"/>
  <c r="F111" i="13"/>
  <c r="C34" i="13" s="1"/>
  <c r="D27" i="13"/>
  <c r="F48" i="13"/>
  <c r="F47" i="13"/>
  <c r="G46" i="13"/>
  <c r="G45" i="13"/>
  <c r="G44" i="13"/>
  <c r="G43" i="13"/>
  <c r="G42" i="13"/>
  <c r="F41" i="13"/>
  <c r="G40" i="13"/>
  <c r="C39" i="13"/>
  <c r="C38" i="13"/>
  <c r="C37" i="13"/>
  <c r="F36" i="13"/>
  <c r="G35" i="13"/>
  <c r="C33" i="13"/>
  <c r="G31" i="13"/>
  <c r="G30" i="13"/>
  <c r="E29" i="13"/>
  <c r="D28" i="13"/>
  <c r="D26" i="13"/>
  <c r="C25" i="13"/>
  <c r="F24" i="13"/>
  <c r="C23" i="13"/>
  <c r="C22" i="13"/>
  <c r="G21" i="13"/>
  <c r="C20" i="13"/>
  <c r="J777" i="12"/>
  <c r="J779" i="12" s="1"/>
  <c r="C782" i="12"/>
  <c r="C781" i="12"/>
  <c r="G819" i="12"/>
  <c r="C778" i="12" s="1"/>
  <c r="D810" i="12"/>
  <c r="C777" i="12" s="1"/>
  <c r="D796" i="12"/>
  <c r="D797" i="12"/>
  <c r="D791" i="12"/>
  <c r="C774" i="12" s="1"/>
  <c r="E769" i="12"/>
  <c r="G729" i="12" s="1"/>
  <c r="G730" i="12" s="1"/>
  <c r="G725" i="12"/>
  <c r="G718" i="12"/>
  <c r="G719" i="12"/>
  <c r="G717" i="12"/>
  <c r="D744" i="12"/>
  <c r="C724" i="12" s="1"/>
  <c r="C721" i="12"/>
  <c r="C733" i="12" s="1"/>
  <c r="G733" i="12" s="1"/>
  <c r="G698" i="12"/>
  <c r="D521" i="12"/>
  <c r="D507" i="12"/>
  <c r="D495" i="12"/>
  <c r="E455" i="12"/>
  <c r="C973" i="11"/>
  <c r="C976" i="11" s="1"/>
  <c r="C977" i="11" s="1"/>
  <c r="G955" i="11"/>
  <c r="H955" i="11" s="1"/>
  <c r="F955" i="11"/>
  <c r="E955" i="11"/>
  <c r="D955" i="11"/>
  <c r="D952" i="11" s="1"/>
  <c r="D953" i="11" s="1"/>
  <c r="B947" i="11"/>
  <c r="E951" i="11"/>
  <c r="D847" i="11"/>
  <c r="D848" i="11" s="1"/>
  <c r="H850" i="11"/>
  <c r="E846" i="11"/>
  <c r="F846" i="11" s="1"/>
  <c r="G846" i="11" s="1"/>
  <c r="F236" i="7"/>
  <c r="D235" i="7"/>
  <c r="E237" i="7"/>
  <c r="E232" i="7"/>
  <c r="F204" i="7"/>
  <c r="E205" i="7"/>
  <c r="D203" i="7"/>
  <c r="E200" i="7"/>
  <c r="E169" i="7"/>
  <c r="D178" i="7"/>
  <c r="F174" i="7"/>
  <c r="F173" i="7"/>
  <c r="E174" i="7"/>
  <c r="B174" i="7"/>
  <c r="D179" i="7"/>
  <c r="D180" i="7" s="1"/>
  <c r="D144" i="7"/>
  <c r="D143" i="7"/>
  <c r="F138" i="7"/>
  <c r="F137" i="7"/>
  <c r="E138" i="7"/>
  <c r="B138" i="7"/>
  <c r="D136" i="7"/>
  <c r="E133" i="7"/>
  <c r="D113" i="7"/>
  <c r="E115" i="7" s="1"/>
  <c r="D103" i="7"/>
  <c r="I102" i="7" s="1"/>
  <c r="I81" i="7"/>
  <c r="D91" i="7"/>
  <c r="I78" i="7"/>
  <c r="F59" i="7"/>
  <c r="E807" i="11" l="1"/>
  <c r="G416" i="10"/>
  <c r="F359" i="10"/>
  <c r="H359" i="10"/>
  <c r="I359" i="10"/>
  <c r="E359" i="10"/>
  <c r="D352" i="23"/>
  <c r="H352" i="23" s="1"/>
  <c r="F304" i="23"/>
  <c r="B312" i="23"/>
  <c r="B316" i="23" s="1"/>
  <c r="B319" i="23" s="1"/>
  <c r="B321" i="23" s="1"/>
  <c r="G720" i="12"/>
  <c r="F650" i="11"/>
  <c r="F652" i="11" s="1"/>
  <c r="G656" i="11" s="1"/>
  <c r="E652" i="11"/>
  <c r="G78" i="19"/>
  <c r="C82" i="19" s="1"/>
  <c r="C83" i="19" s="1"/>
  <c r="F119" i="16"/>
  <c r="G236" i="24"/>
  <c r="G237" i="24" s="1"/>
  <c r="B230" i="23"/>
  <c r="B232" i="23" s="1"/>
  <c r="F245" i="23" s="1"/>
  <c r="B197" i="23"/>
  <c r="D66" i="23"/>
  <c r="F66" i="23"/>
  <c r="C66" i="23"/>
  <c r="G66" i="23"/>
  <c r="D802" i="12"/>
  <c r="C775" i="12" s="1"/>
  <c r="C776" i="12" s="1"/>
  <c r="C780" i="12" s="1"/>
  <c r="C783" i="12" s="1"/>
  <c r="F397" i="5"/>
  <c r="C402" i="10"/>
  <c r="C403" i="10"/>
  <c r="D386" i="10"/>
  <c r="D33" i="16"/>
  <c r="D387" i="10" s="1"/>
  <c r="E24" i="16"/>
  <c r="L261" i="13"/>
  <c r="G290" i="13"/>
  <c r="D219" i="13"/>
  <c r="C272" i="13"/>
  <c r="G289" i="13"/>
  <c r="H126" i="13"/>
  <c r="G51" i="13"/>
  <c r="F51" i="13"/>
  <c r="C51" i="13"/>
  <c r="D51" i="13"/>
  <c r="E847" i="11"/>
  <c r="F847" i="11" s="1"/>
  <c r="G847" i="11" s="1"/>
  <c r="A922" i="11" s="1"/>
  <c r="D929" i="11" s="1"/>
  <c r="D930" i="11" s="1"/>
  <c r="E952" i="11"/>
  <c r="F952" i="11" s="1"/>
  <c r="G952" i="11" s="1"/>
  <c r="F951" i="11"/>
  <c r="I105" i="7"/>
  <c r="C293" i="5"/>
  <c r="D293" i="5"/>
  <c r="C189" i="5"/>
  <c r="D189" i="5"/>
  <c r="G244" i="4"/>
  <c r="F243" i="4"/>
  <c r="G242" i="4"/>
  <c r="F241" i="4"/>
  <c r="F240" i="4"/>
  <c r="F239" i="4"/>
  <c r="G238" i="4"/>
  <c r="G237" i="4"/>
  <c r="F236" i="4"/>
  <c r="G235" i="4"/>
  <c r="G234" i="4"/>
  <c r="F233" i="4"/>
  <c r="F232" i="4"/>
  <c r="E244" i="4"/>
  <c r="D244" i="4"/>
  <c r="F231" i="4"/>
  <c r="F244" i="4" s="1"/>
  <c r="F203" i="4"/>
  <c r="E190" i="4"/>
  <c r="C207" i="4"/>
  <c r="C201" i="4"/>
  <c r="C196" i="4"/>
  <c r="B196" i="4"/>
  <c r="B197" i="4" s="1"/>
  <c r="H175" i="4"/>
  <c r="E163" i="4"/>
  <c r="C167" i="4" s="1"/>
  <c r="C137" i="4"/>
  <c r="C130" i="4"/>
  <c r="H126" i="4"/>
  <c r="B119" i="4"/>
  <c r="E114" i="4"/>
  <c r="B97" i="4"/>
  <c r="C70" i="4"/>
  <c r="H65" i="4"/>
  <c r="C57" i="4"/>
  <c r="C58" i="4" s="1"/>
  <c r="B45" i="4"/>
  <c r="B46" i="4" s="1"/>
  <c r="B252" i="23" l="1"/>
  <c r="I245" i="23"/>
  <c r="J245" i="23" s="1"/>
  <c r="C407" i="10"/>
  <c r="C416" i="10" s="1"/>
  <c r="D390" i="10"/>
  <c r="D393" i="10" s="1"/>
  <c r="D395" i="10" s="1"/>
  <c r="I412" i="10" s="1"/>
  <c r="E848" i="11"/>
  <c r="E32" i="13"/>
  <c r="E51" i="13" s="1"/>
  <c r="F953" i="11"/>
  <c r="G951" i="11"/>
  <c r="G953" i="11" s="1"/>
  <c r="H957" i="11" s="1"/>
  <c r="F848" i="11"/>
  <c r="G848" i="11"/>
  <c r="H852" i="11" s="1"/>
  <c r="E95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tc={42E83108-99E1-0942-BDB0-A0EDC803B34C}</author>
    <author>tc={04E53DFE-0FAF-5648-85D4-EFDD57943A99}</author>
    <author>tc={C4465232-A142-1D4D-8F8C-57979B275B74}</author>
    <author>tc={976E9746-2CAD-B846-9095-D68A9468734A}</author>
  </authors>
  <commentList>
    <comment ref="C415" authorId="0" shapeId="0" xr:uid="{42E83108-99E1-0942-BDB0-A0EDC803B34C}">
      <text>
        <t>[Threaded comment]
Your version of Excel allows you to read this threaded comment; however, any edits to it will get removed if the file is opened in a newer version of Excel. Learn more: https://go.microsoft.com/fwlink/?linkid=870924
Comment:
    עלות היסטורית - סך הסכום ששולם בעד המכונות 900 כולל הובלה 100 סהכ 1,000</t>
      </text>
    </comment>
    <comment ref="C416" authorId="1" shapeId="0" xr:uid="{04E53DFE-0FAF-5648-85D4-EFDD57943A99}">
      <text>
        <t xml:space="preserve">[Threaded comment]
Your version of Excel allows you to read this threaded comment; however, any edits to it will get removed if the file is opened in a newer version of Excel. Learn more: https://go.microsoft.com/fwlink/?linkid=870924
Comment:
    הפריט עלה 1,000, מופחת על פני 10 שנים ללא גרט - חילקנו ב-10, וכפלנו בזמן שחלף מזמינות לשימוש 31.3.2019 עד 1.1.2020 כלומר 9 חודשים </t>
      </text>
    </comment>
    <comment ref="C678" authorId="2" shapeId="0" xr:uid="{C4465232-A142-1D4D-8F8C-57979B275B74}">
      <text>
        <t>[Threaded comment]
Your version of Excel allows you to read this threaded comment; however, any edits to it will get removed if the file is opened in a newer version of Excel. Learn more: https://go.microsoft.com/fwlink/?linkid=870924
Comment:
    מהיתרה המקורית 50 בתוספת 22 מכירה באשראי שלא נרשמה</t>
      </text>
    </comment>
    <comment ref="F679" authorId="3" shapeId="0" xr:uid="{976E9746-2CAD-B846-9095-D68A9468734A}">
      <text>
        <t>[Threaded comment]
Your version of Excel allows you to read this threaded comment; however, any edits to it will get removed if the file is opened in a newer version of Excel. Learn more: https://go.microsoft.com/fwlink/?linkid=870924
Comment:
    מכירות מקוריות 400 בתוספת מכירה נוספת - אירוע ג - 22</t>
      </text>
    </comment>
  </commentList>
</comments>
</file>

<file path=xl/sharedStrings.xml><?xml version="1.0" encoding="utf-8"?>
<sst xmlns="http://schemas.openxmlformats.org/spreadsheetml/2006/main" count="8760" uniqueCount="5367">
  <si>
    <t>מבוא לחשבונאות פיננסית - שיעור מס׳ 1</t>
  </si>
  <si>
    <t>מטרה והגדרות</t>
  </si>
  <si>
    <t>מידע שמספקת מערכת החוקים והכללים הנקראת ״חשבונאות פיננסית״.</t>
  </si>
  <si>
    <t>פירוט רכיבי המידע בדוחות וההגדרות שלהם</t>
  </si>
  <si>
    <t>הכנסות</t>
  </si>
  <si>
    <t>הוצאות</t>
  </si>
  <si>
    <t>נכסים</t>
  </si>
  <si>
    <t>התחייבויות</t>
  </si>
  <si>
    <t>לפניכם נתונים בדבר ערכים כספיים שונים. עליכם לסווג כל אחד מהם לקטגוריה הרלוונטית עבורו.</t>
  </si>
  <si>
    <t>חשבון</t>
  </si>
  <si>
    <t>סכום כספי</t>
  </si>
  <si>
    <t>הון עצמי (?)</t>
  </si>
  <si>
    <t>עו״ש בנק</t>
  </si>
  <si>
    <t>מלאי סוף שנה</t>
  </si>
  <si>
    <t>לקוחות</t>
  </si>
  <si>
    <t>חייבים</t>
  </si>
  <si>
    <t>ספקים</t>
  </si>
  <si>
    <t>רכוש קבוע</t>
  </si>
  <si>
    <t>נדל״ן להשקעה</t>
  </si>
  <si>
    <t>פטנטים</t>
  </si>
  <si>
    <t>זכיונות</t>
  </si>
  <si>
    <t>תוכנות</t>
  </si>
  <si>
    <t>הלוואות לזמן קצר</t>
  </si>
  <si>
    <t>הלוואות לזמן ארוך</t>
  </si>
  <si>
    <t>הון מניות</t>
  </si>
  <si>
    <t>עודפים (יתרת רווח)</t>
  </si>
  <si>
    <t>?</t>
  </si>
  <si>
    <t>לקוחות:</t>
  </si>
  <si>
    <t xml:space="preserve">לקוחות משקפים את סך החוב הכולל של לקוחות החברה כלפיה. </t>
  </si>
  <si>
    <t>כלומר: ״כמה הלקוחות חייבים לי״.</t>
  </si>
  <si>
    <t>כאשר צפויה קבלה של סכום כספי מלקוח = = כניסת הטבה כלכלית בעתיד = = נכס.</t>
  </si>
  <si>
    <r>
      <t xml:space="preserve">זהו </t>
    </r>
    <r>
      <rPr>
        <b/>
        <sz val="12"/>
        <color theme="1"/>
        <rFont val="David"/>
        <family val="2"/>
        <charset val="177"/>
      </rPr>
      <t>נכס</t>
    </r>
    <r>
      <rPr>
        <sz val="12"/>
        <color theme="1"/>
        <rFont val="David"/>
        <family val="2"/>
        <charset val="177"/>
      </rPr>
      <t>. מדוע? משום שמדובר בסכום כספי שהחברה אמורה לקבל בעתיד מהלקוח.</t>
    </r>
  </si>
  <si>
    <t>חייבים:</t>
  </si>
  <si>
    <t>חוב כלפי החברה שאיננו של לקוח - כלומר לא נובע מקשרי מסחר רגילים (ממכירה / מתן שירות).</t>
  </si>
  <si>
    <t>לדוגמא: חוב של רשות המסים כלפיי (החזר מס צפוי)</t>
  </si>
  <si>
    <t>חוב של עובד כלפיי.</t>
  </si>
  <si>
    <t>וכיו״ב.</t>
  </si>
  <si>
    <r>
      <t xml:space="preserve">בדומה ללקוחות, גם ״חייבים״ הוא </t>
    </r>
    <r>
      <rPr>
        <b/>
        <sz val="12"/>
        <color theme="1"/>
        <rFont val="David"/>
        <family val="2"/>
        <charset val="177"/>
      </rPr>
      <t>נכס</t>
    </r>
    <r>
      <rPr>
        <sz val="12"/>
        <color theme="1"/>
        <rFont val="David"/>
        <family val="2"/>
        <charset val="177"/>
      </rPr>
      <t>, משום שבעתיד צפויות לזרום לחברה הטבות (גביית החוב).</t>
    </r>
  </si>
  <si>
    <t>התחייבות קיימת של החברה לשלם לספקי המוצרים והשירותים בעתיד - בגין מוצר שכבר נרכש / שירות שכבר</t>
  </si>
  <si>
    <t xml:space="preserve">נצרך. </t>
  </si>
  <si>
    <t>ספקים:</t>
  </si>
  <si>
    <t>שאלה מהקהל: האם ניתן לומר שספקים זו בעצם ההוצאה?</t>
  </si>
  <si>
    <t xml:space="preserve">נמחיש את התשובה באמצעות דוגמא. </t>
  </si>
  <si>
    <t>עד לתום התקופה, שילמה החברה לספק במזומן בעד שירותיו 80,000 ש״ח.</t>
  </si>
  <si>
    <t>מהי ההוצאה?</t>
  </si>
  <si>
    <t>מהי יתרת הסכום הכספי בחשבון ספקים?</t>
  </si>
  <si>
    <t>ההוצאה מוגדרת בתור שווי השירות שנצרך ולכן = 100,000 (זו הפעילות).</t>
  </si>
  <si>
    <r>
      <rPr>
        <b/>
        <sz val="12"/>
        <color theme="1"/>
        <rFont val="David"/>
        <family val="2"/>
        <charset val="177"/>
      </rPr>
      <t>יתרת הספקים</t>
    </r>
    <r>
      <rPr>
        <sz val="12"/>
        <color theme="1"/>
        <rFont val="David"/>
        <family val="2"/>
        <charset val="177"/>
      </rPr>
      <t xml:space="preserve"> לעומת זאת היא יתרת ההתחייבות שטרם שולמה = </t>
    </r>
    <r>
      <rPr>
        <b/>
        <sz val="12"/>
        <color theme="1"/>
        <rFont val="David"/>
        <family val="2"/>
        <charset val="177"/>
      </rPr>
      <t>20,000</t>
    </r>
    <r>
      <rPr>
        <sz val="12"/>
        <color theme="1"/>
        <rFont val="David"/>
        <family val="2"/>
        <charset val="177"/>
      </rPr>
      <t xml:space="preserve"> = 80,000 - 100,000</t>
    </r>
  </si>
  <si>
    <t>זכאים:</t>
  </si>
  <si>
    <t xml:space="preserve">יתרת התחייבות לגורם שאיננו ספק. </t>
  </si>
  <si>
    <t>כגון: התחייבות לעירייה בגין ארנונה.</t>
  </si>
  <si>
    <t>התחייבות לשלם מס לרשות המסים.</t>
  </si>
  <si>
    <t>התחייבות בגין שכר לעובד.</t>
  </si>
  <si>
    <t>רכוש קבוע:</t>
  </si>
  <si>
    <t>מכונות, ציוד, כלי רכב, מבנים, ריהוט, מחשבים, טלפונים סלולריים וכיו״ב - פריטים מוחשיים (פיסיים)</t>
  </si>
  <si>
    <r>
      <t>שפרק הזמן הצפוי להטבה מהם (לשימוש) ארוך (מעל שנה). זוהי דוגמא ל</t>
    </r>
    <r>
      <rPr>
        <b/>
        <sz val="12"/>
        <color theme="1"/>
        <rFont val="David"/>
        <family val="2"/>
        <charset val="177"/>
      </rPr>
      <t>נכס</t>
    </r>
    <r>
      <rPr>
        <sz val="12"/>
        <color theme="1"/>
        <rFont val="David"/>
        <family val="2"/>
        <charset val="177"/>
      </rPr>
      <t xml:space="preserve">. </t>
    </r>
  </si>
  <si>
    <t>נדל״ן להשקעה:</t>
  </si>
  <si>
    <t>מבנים (נכסים) שאינם משמשים את החברה עצמה, אלא מושכרים ו/או מוחזקים למכירה בטווח הארוך.</t>
  </si>
  <si>
    <t>פטנטים:</t>
  </si>
  <si>
    <t>דוגמא: פטנט לתרופות, לרכב אוטונומי וכיו״ב.</t>
  </si>
  <si>
    <r>
      <rPr>
        <b/>
        <sz val="12"/>
        <color theme="1"/>
        <rFont val="David"/>
        <family val="2"/>
        <charset val="177"/>
      </rPr>
      <t>נכס</t>
    </r>
    <r>
      <rPr>
        <sz val="12"/>
        <color theme="1"/>
        <rFont val="David"/>
        <family val="2"/>
        <charset val="177"/>
      </rPr>
      <t xml:space="preserve"> המשקף ידע ייחודי שבבעלות החברה ויכולת השימוש בו להניב הטבות כלכליות מוגבלת רק לחברה.</t>
    </r>
  </si>
  <si>
    <t>זכיונות:</t>
  </si>
  <si>
    <t>מבחינתנו: זכיונות לרשתות כגון ארומה, מקדונלדס וכיו״ב. זהו נכס משום שהוא מאפשר קבלת הטבות מהמותג.</t>
  </si>
  <si>
    <t>מלאי</t>
  </si>
  <si>
    <t>פריט בחברה שמוחזק לצורך מכירה שוטפת. למשל - באופיס דיפו ציוד משרדי הוא מלאי.</t>
  </si>
  <si>
    <t>למשל - באייבורי - מחשבים הם מלאי.</t>
  </si>
  <si>
    <t>מדוע מלאי הוא נכס? משום שצפויה מכירתו, ובעקבותיה תיווצר הטבה כלכלית (נגבה כסף).</t>
  </si>
  <si>
    <t>לבין העלות הבסיסית ביותר - עלות המוצרים שנמכרו.</t>
  </si>
  <si>
    <t>מכירות</t>
  </si>
  <si>
    <t>+</t>
  </si>
  <si>
    <t>(-)</t>
  </si>
  <si>
    <t>רווח גולמי</t>
  </si>
  <si>
    <t>=</t>
  </si>
  <si>
    <t>נפעל כעת להגדרת וחישוב כל אחדת מהסעיפים הבונים את הרווח הגולמי:</t>
  </si>
  <si>
    <t>מכירות ברוטו</t>
  </si>
  <si>
    <t>בניכוי החזרות מלקוחות</t>
  </si>
  <si>
    <t>סך הכל מכירות נטו</t>
  </si>
  <si>
    <t>(*)</t>
  </si>
  <si>
    <t>מכירות (*) = מכירות נטו:</t>
  </si>
  <si>
    <t>(**)</t>
  </si>
  <si>
    <t>עלות המכירות (**):</t>
  </si>
  <si>
    <t>מלאי פתיחה</t>
  </si>
  <si>
    <t>קניות, נטו</t>
  </si>
  <si>
    <t>מלאי סגירה</t>
  </si>
  <si>
    <t>סך עלות המכר</t>
  </si>
  <si>
    <t>נניח: לתחילת שנה 1.1.2020</t>
  </si>
  <si>
    <t>מלאי פתיחה בעלות 100 ש״ח</t>
  </si>
  <si>
    <t>במהלך השנה 2020:</t>
  </si>
  <si>
    <t>קניות בהיקף 300 ש״ח</t>
  </si>
  <si>
    <t>הוצאתי מלאי בהיקף X</t>
  </si>
  <si>
    <t>בתום השנה 31.12.2020:</t>
  </si>
  <si>
    <t>מלאי סגירה בעלות 120 ש״ח</t>
  </si>
  <si>
    <t>איך ניתן לחלץ את X - עלות המלאי שיצא - עלות המכר?</t>
  </si>
  <si>
    <t>X = 100 + 300 - 120 = 280</t>
  </si>
  <si>
    <t>או:</t>
  </si>
  <si>
    <t>עלות המכר</t>
  </si>
  <si>
    <r>
      <t xml:space="preserve">כדי להשלים את הדיון - ההגדרה האחרונה שנחדד היא </t>
    </r>
    <r>
      <rPr>
        <b/>
        <sz val="12"/>
        <color theme="1"/>
        <rFont val="David"/>
        <family val="2"/>
        <charset val="177"/>
      </rPr>
      <t>קניות נטו</t>
    </r>
    <r>
      <rPr>
        <sz val="12"/>
        <color theme="1"/>
        <rFont val="David"/>
        <family val="2"/>
        <charset val="177"/>
      </rPr>
      <t>:</t>
    </r>
  </si>
  <si>
    <t>קניות נטו:</t>
  </si>
  <si>
    <t>קניות ברוטו</t>
  </si>
  <si>
    <t>הובלה למחסן</t>
  </si>
  <si>
    <t>החזרות לספקים</t>
  </si>
  <si>
    <t>הנחות מסחריות מספקים</t>
  </si>
  <si>
    <t>שהתקבלו</t>
  </si>
  <si>
    <r>
      <t xml:space="preserve">הנחות </t>
    </r>
    <r>
      <rPr>
        <b/>
        <sz val="12"/>
        <color theme="1"/>
        <rFont val="David"/>
        <family val="2"/>
        <charset val="177"/>
      </rPr>
      <t>מסחריות</t>
    </r>
    <r>
      <rPr>
        <sz val="12"/>
        <color theme="1"/>
        <rFont val="David"/>
        <family val="2"/>
        <charset val="177"/>
      </rPr>
      <t xml:space="preserve"> מספקים</t>
    </r>
  </si>
  <si>
    <t>סך הכל קניות נטו</t>
  </si>
  <si>
    <t>תרגולון - חשבו את הרווח הגולמי על בסיס הערכים הבאים:</t>
  </si>
  <si>
    <t xml:space="preserve">חשבון </t>
  </si>
  <si>
    <t>ערך כספי</t>
  </si>
  <si>
    <t>הוצאות הובלה ללקוחות</t>
  </si>
  <si>
    <t>הנחות מזומן מספקים</t>
  </si>
  <si>
    <t xml:space="preserve">הוצאות הובלה למחסן </t>
  </si>
  <si>
    <t>מכירות, נטו:</t>
  </si>
  <si>
    <t>עלות המכירות:</t>
  </si>
  <si>
    <r>
      <t xml:space="preserve">הנחות </t>
    </r>
    <r>
      <rPr>
        <sz val="12"/>
        <color rgb="FFFF0000"/>
        <rFont val="David"/>
        <family val="2"/>
        <charset val="177"/>
      </rPr>
      <t>מזומן</t>
    </r>
    <r>
      <rPr>
        <sz val="12"/>
        <color theme="1"/>
        <rFont val="David"/>
        <family val="2"/>
        <charset val="177"/>
      </rPr>
      <t xml:space="preserve"> ללקוחות</t>
    </r>
  </si>
  <si>
    <r>
      <t xml:space="preserve">בניכוי הנחות </t>
    </r>
    <r>
      <rPr>
        <sz val="12"/>
        <color rgb="FFFF0000"/>
        <rFont val="David"/>
        <family val="2"/>
        <charset val="177"/>
      </rPr>
      <t>מסחריות</t>
    </r>
    <r>
      <rPr>
        <sz val="12"/>
        <color theme="1"/>
        <rFont val="David"/>
        <family val="2"/>
        <charset val="177"/>
      </rPr>
      <t xml:space="preserve"> ללקוחות</t>
    </r>
  </si>
  <si>
    <r>
      <t xml:space="preserve">הנחות </t>
    </r>
    <r>
      <rPr>
        <sz val="12"/>
        <color rgb="FFFF0000"/>
        <rFont val="David"/>
        <family val="2"/>
        <charset val="177"/>
      </rPr>
      <t>מסחריות</t>
    </r>
    <r>
      <rPr>
        <sz val="12"/>
        <color theme="1"/>
        <rFont val="David"/>
        <family val="2"/>
        <charset val="177"/>
      </rPr>
      <t xml:space="preserve"> ללקוחות</t>
    </r>
  </si>
  <si>
    <t>החזרות מלקוחות</t>
  </si>
  <si>
    <t>מכירות נטו סה״כ</t>
  </si>
  <si>
    <r>
      <t xml:space="preserve">בתוספת קניות נטו </t>
    </r>
    <r>
      <rPr>
        <sz val="10"/>
        <color theme="1"/>
        <rFont val="David"/>
        <family val="2"/>
        <charset val="177"/>
      </rPr>
      <t>(קניות ברוטו + הובלה למחסן, בניכוי הנחות מסחריות מספק והחזרות)</t>
    </r>
  </si>
  <si>
    <t xml:space="preserve">50,000 + 8,000 - 1,000 - 7,000 = </t>
  </si>
  <si>
    <t>סך עלות המכירות</t>
  </si>
  <si>
    <t>רווח גולמי:</t>
  </si>
  <si>
    <t>מכירות, נטו</t>
  </si>
  <si>
    <t>בניכוי עלות המכירות</t>
  </si>
  <si>
    <t>הון עצמי</t>
  </si>
  <si>
    <t>א. חברה הנפיקה 30,000 מניות בנות 2 ש״ח ערך נקוב כל אחת תמורת 60,000 ש״ח.</t>
  </si>
  <si>
    <t>ב. החברה לוותה 50,000 ש״ח כהלוואה ל-5 שנים שתסולק בתשלום אחד (קרן וריבית) בתום 5 השנים.</t>
  </si>
  <si>
    <t>ג. הריבית שנצברה (אך טרם שולמה) בגין אירוע ב עד לתום שנת הדיווח היא 3,000 ש״ח.</t>
  </si>
  <si>
    <t>ד. החברה העניקה שירותים בהיקף 40,000 ש״ח. סכום של 30,000 ש״ח התקבל במזומן, היתרה תתקבל בשנה הבאה.</t>
  </si>
  <si>
    <t>ה. החברה שילמה בעד הוצאות חשמל 5,000 ש״ח.</t>
  </si>
  <si>
    <t>ו. החברה שילמה בעד הוצאות תפעוליות 20,000 ש״ח.</t>
  </si>
  <si>
    <t>ז. החברה הפקידה בפיקדון בנקאי לזמן קצר 15,000 ש״ח.</t>
  </si>
  <si>
    <t>ט. החברה הכריזה דיבידנד בסכום של 5,000 ש״ח. הדיבידנד ישולם בשנה הבאה.</t>
  </si>
  <si>
    <t>מזומן</t>
  </si>
  <si>
    <t>א. הנפקת מניות - קבלת מזומן</t>
  </si>
  <si>
    <t>ב. נטילת הלוואה</t>
  </si>
  <si>
    <t>הלוואה ל-5 שנים</t>
  </si>
  <si>
    <t>ג. צבירת ריבית בגין הלוואה</t>
  </si>
  <si>
    <t>הוצאות (-)</t>
  </si>
  <si>
    <t>ריבית לשלם</t>
  </si>
  <si>
    <t>ד. אספקת שירותים</t>
  </si>
  <si>
    <t>ה. הוצאות חשמל</t>
  </si>
  <si>
    <t>ו. הוצאות תפעוליות</t>
  </si>
  <si>
    <t>ז. הפקדה בפיקדון לזמן קצר</t>
  </si>
  <si>
    <t>פקדון 
לזמן קצר</t>
  </si>
  <si>
    <t>ח. פירעון פיקדון</t>
  </si>
  <si>
    <t>ט. הכרזת דיבידנד</t>
  </si>
  <si>
    <t>עודפים
(רווח מצטבר)</t>
  </si>
  <si>
    <t>דיבידנד 
לשלם</t>
  </si>
  <si>
    <t>וכעת החלק ה״קשוח״ - מעבר מטבלה ״הגיונית״ של תיעוד לדרך הרישום המקובלת בתוכנות הנהלת חשבונות וכיו״ב - פקודות יומן</t>
  </si>
  <si>
    <t>טכניקת הרישום החשבונאית לא כוללת הגדרות לשוניות כמו ״הנכסים גדלים״ או ״ההון קטן״.</t>
  </si>
  <si>
    <t>היא כוללת הגדרות הנקראות ״חובה וזכות״.</t>
  </si>
  <si>
    <t>למה הכוונה?</t>
  </si>
  <si>
    <t>גידול</t>
  </si>
  <si>
    <t>קיטון</t>
  </si>
  <si>
    <t>חובה</t>
  </si>
  <si>
    <t>זכות</t>
  </si>
  <si>
    <t>זכות הון מניות 60,000</t>
  </si>
  <si>
    <t>חובה
מזומן</t>
  </si>
  <si>
    <t>זכות
הון מניות</t>
  </si>
  <si>
    <t>זכות הלוואה ל-5 שנים 50,000</t>
  </si>
  <si>
    <t>זכות
הלוואה</t>
  </si>
  <si>
    <t>זכות
ריבית לשלם</t>
  </si>
  <si>
    <t>חובה
הוצאות ריבית</t>
  </si>
  <si>
    <t>זכות ריבית לשלם 3,000</t>
  </si>
  <si>
    <t>ד. חובה מזומן 30,000</t>
  </si>
  <si>
    <t>חובה לקוחות 10,000</t>
  </si>
  <si>
    <t>זכות הכנסות משירות 40,000</t>
  </si>
  <si>
    <t>ה. חובה הוצאות חשמל 5,000</t>
  </si>
  <si>
    <t>ו. חובה הוצאות תפעוליות 20,000</t>
  </si>
  <si>
    <t>זכות מזומן 20,000</t>
  </si>
  <si>
    <t>זכות מזומן 5,000</t>
  </si>
  <si>
    <t>ז. חובה פיקדון לזמן קצר 15,000</t>
  </si>
  <si>
    <t>זכות מזומן 15,000</t>
  </si>
  <si>
    <t>ח. חובה מזומן 16,000</t>
  </si>
  <si>
    <t>זכות פיקדון לזמן קצר 15,000</t>
  </si>
  <si>
    <t>זכות הכנסות ריבית 1,000</t>
  </si>
  <si>
    <t>ט. חובה עודפים (הכרזת דיבידנד) 5,000</t>
  </si>
  <si>
    <t>זכות דיבידנד לשלם 5,000</t>
  </si>
  <si>
    <t>https://youtu.be/yBkNCQvDNCw</t>
  </si>
  <si>
    <t>חדש!!! סרטון הדרכה מפורט ואינטנסיבי למעוניינים בנושא פקודות יומן - מוקלט ״אקסטרא״ - נמצא כאן:</t>
  </si>
  <si>
    <t>המטרה שלנו במפגש זה היא להמשיך ולתרגל את נושא פקודות היומן, ולאחר התרגול, להציג את טכניקת הרישום המקובלת</t>
  </si>
  <si>
    <t>לתיעוד ערכים לשם צבירת יתרות במסגרת ״כרטיסי חשבון״ ו״מאזן בוחן תלת טורי״.</t>
  </si>
  <si>
    <t>התרגיל</t>
  </si>
  <si>
    <t>חברת ״מקינטה הקטנה״ בע״מ (להלן: ״החברה״) היא חברה מסחרית העוסקת במגוון רחב של פעילויות עסקיות. להלן נתונים</t>
  </si>
  <si>
    <t>בדבר עסקאות ואירועים שהתרחשו בחברה בשנת הקמתה (החברה הוקמה ב-1.1.2018):</t>
  </si>
  <si>
    <t>ב. החברה נטלה הלוואות לזמן ארוך בסכום של 70,000 ש״ח.</t>
  </si>
  <si>
    <t>ג. החברה שילמה הוצאות ריבית בגין הלוואות לזמן ארוך בסך של 7,000 ש״ח.</t>
  </si>
  <si>
    <t>ד. החברה ביצעה קניות מספקים בעלות של 40,000 ש״ח. מתוך סכום זה, 10,000 ש״ח שולמו במזומן והיתרה טרם שולמה.</t>
  </si>
  <si>
    <t>ו. החברה שילמה הוצאות חשמל בסך 15,000 ש״ח.</t>
  </si>
  <si>
    <t>ז. החברה שילמה הוצאות פרסום בסך 4,000 ש״ח.</t>
  </si>
  <si>
    <t>ח. החברה רכשה מקבוקים לעובדי המשרד בסך 8,000 ש״ח.</t>
  </si>
  <si>
    <t>ט. החברה נטלה הלוואה לזמן קצר בסך 10,000 ש״ח.</t>
  </si>
  <si>
    <t>י. החברה שילמה הוצאות שכר ומשכורות כלליות בסך 20,000 ש״ח.</t>
  </si>
  <si>
    <t>א. החברה הנפיקה 200,000 מניות בנות 1 ש״ח ערך נקוב כל אחת בתמורה ל-200,000 ש״ח.</t>
  </si>
  <si>
    <t>נדרש:</t>
  </si>
  <si>
    <t>א. תעדו את כל העסקאות בזהות החשבונאית ורשמו פקודת יומן לתיעוד כל אחת מהן.</t>
  </si>
  <si>
    <t xml:space="preserve">ב. ערכו כרטיסי חשבון לתיעוד העסקאות. </t>
  </si>
  <si>
    <t>ג. הציגו מאזן בוחן תלת טורי לתיעוד העסקאות ויתרותיהן.</t>
  </si>
  <si>
    <t xml:space="preserve">    הנחייה: כדי להקל על המעקב שלכם, אין צורך בבניית טבלה מרכזת, אלא במיני טבלה ואז פקודה לכל אירוע בנפרד.</t>
  </si>
  <si>
    <t>למי שעדיין מתקשה בפקודות יומן ופספס - סרטון עזר מאד חובבני אך שקיבל פידבקים טובים מאד מסטודנטים, נמצא כאן:</t>
  </si>
  <si>
    <t>ה. החברה ביצעה מכירות שכל כל הקניות - ללקוחות בהיקף של 100,000 ש״ח, מתוכן 44,000 ש״ח במזומן והיתרה באשראי לקוחות.</t>
  </si>
  <si>
    <t>תזכורת - כללי יסוד:</t>
  </si>
  <si>
    <t>התחייבויות +</t>
  </si>
  <si>
    <t>הכנסות (+)</t>
  </si>
  <si>
    <t>גידול - בחובה</t>
  </si>
  <si>
    <t>קיטון - בזכות</t>
  </si>
  <si>
    <t>גידול - בזכות</t>
  </si>
  <si>
    <t>קיטון - בחובה</t>
  </si>
  <si>
    <t>טבלת פקודות יומן בהתאם לכלל היסוד:</t>
  </si>
  <si>
    <t>חובה מזומן</t>
  </si>
  <si>
    <t>זכות הון מניות</t>
  </si>
  <si>
    <t>נכסים
גידול-חובה
קיטון-זכות</t>
  </si>
  <si>
    <t>התחייבויות והון עצמי
גידול-בזכות
קיטון-חובה</t>
  </si>
  <si>
    <t>התחייבות:
הלוואה</t>
  </si>
  <si>
    <t>ערך בסוגריים = שלילי בחשבונאות.</t>
  </si>
  <si>
    <t>זכות מזומן</t>
  </si>
  <si>
    <t xml:space="preserve">חובה הוצאות ריבית </t>
  </si>
  <si>
    <t>הסבר מפורט:</t>
  </si>
  <si>
    <t>נכס המזומן קטן - זכות מזומן.</t>
  </si>
  <si>
    <t>לגבי הוצאות הריבית - זה נכון לומר שההוצאות גדלות; יחד עם זאת, יש לזכור - הוצאות מקטינות</t>
  </si>
  <si>
    <t xml:space="preserve">את הרווח ולכן גם את ההון העצמי. </t>
  </si>
  <si>
    <t xml:space="preserve">משום כך, תמיד הוצאות מקטינות בעקיפין את ההון העצמי, ותמיד תרשמנה בחובה. </t>
  </si>
  <si>
    <t>התחייבות:</t>
  </si>
  <si>
    <t>כאשר אנו נתקלים במונח ״קניות״, ללא תיאורים נוספים, מדובר בקניה ״שוטפת״ [לא של נכס ארוך טווח]</t>
  </si>
  <si>
    <t>ההוצאה תירשם לפי סכום הקניה הכולל, ללא תלות במועד התשלום בפועל.</t>
  </si>
  <si>
    <t xml:space="preserve">ולכן יש לתעד הוצאה - בצד ההון העצמי בסימן שלילי (סוגריים = שלילי בחשבונאות). </t>
  </si>
  <si>
    <t>המזומן קטן ב-10,000.</t>
  </si>
  <si>
    <t xml:space="preserve">בנוסף נוצרה התחייבות לשלם את ההפרש בין סכום הקניה (40,000) לבין תשלום המזומן (10,000) = 30,000. </t>
  </si>
  <si>
    <t>להתחייבות שנוצרת כנגד ספקי מוצר או שירות, נקרא ״ספקים״. לכן יש להגדיל התחייבות הנקראת ״ספקים״ בסכום זה.</t>
  </si>
  <si>
    <t>זכות ספקים</t>
  </si>
  <si>
    <t>חובה קניות</t>
  </si>
  <si>
    <t>כשם שבנתון לגבי קניות - נרשום את כל סכום הקניה כהוצאה (אירוע ד),</t>
  </si>
  <si>
    <r>
      <t xml:space="preserve">כך בנתון לגבי מכירות - נרשום את כל סכום המכירה כהכנסה - וזאת: </t>
    </r>
    <r>
      <rPr>
        <u/>
        <sz val="12"/>
        <color theme="1"/>
        <rFont val="David"/>
        <family val="2"/>
        <charset val="177"/>
      </rPr>
      <t>ללא תלות</t>
    </r>
    <r>
      <rPr>
        <sz val="12"/>
        <color theme="1"/>
        <rFont val="David"/>
        <family val="2"/>
        <charset val="177"/>
      </rPr>
      <t xml:space="preserve"> במועד שבו מתקבל המזומן בעד המכירה.</t>
    </r>
  </si>
  <si>
    <t>הואיל וקיים פער בין סכום ההכנסה (המכירה):</t>
  </si>
  <si>
    <t>לסכום המזומן שהתקבל</t>
  </si>
  <si>
    <t>נוצר הפרש, המשקף חוב כלפי החברה = נכס לקוחות:</t>
  </si>
  <si>
    <t xml:space="preserve">100,000 - 44,000 = </t>
  </si>
  <si>
    <t>פקודת יומן:</t>
  </si>
  <si>
    <t>חובה לקוחות</t>
  </si>
  <si>
    <t>זכות מכירות</t>
  </si>
  <si>
    <t>חובה הוצאות חשמל</t>
  </si>
  <si>
    <t>חובה הוצאות פרסום</t>
  </si>
  <si>
    <t>ההסבר / הטבלה: בדיוק כמו בסעיף קודם.</t>
  </si>
  <si>
    <t>ח. החברה רכשה מקבוקים לעובדי המשרד בסך 8,000 ש״ח מתוכם שילמה במזומן 5,000 והיתרה באשראי ספקים.</t>
  </si>
  <si>
    <t>מחשבים</t>
  </si>
  <si>
    <r>
      <rPr>
        <b/>
        <sz val="12"/>
        <color theme="1"/>
        <rFont val="David"/>
        <family val="2"/>
        <charset val="177"/>
      </rPr>
      <t>ראשית</t>
    </r>
    <r>
      <rPr>
        <sz val="12"/>
        <color theme="1"/>
        <rFont val="David"/>
        <family val="2"/>
        <charset val="177"/>
      </rPr>
      <t>: המזומן ששולם מקטין את נכס המזומן:</t>
    </r>
  </si>
  <si>
    <r>
      <rPr>
        <b/>
        <sz val="12"/>
        <color theme="1"/>
        <rFont val="David"/>
        <family val="2"/>
        <charset val="177"/>
      </rPr>
      <t>שנית</t>
    </r>
    <r>
      <rPr>
        <sz val="12"/>
        <color theme="1"/>
        <rFont val="David"/>
        <family val="2"/>
        <charset val="177"/>
      </rPr>
      <t xml:space="preserve">: הואיל ומדובר ברכישה של פריט ״בר קיימא״ (שישרת את החברה תקופה ממושכת) - מלוא עלותו היא נכס מחשב: </t>
    </r>
    <r>
      <rPr>
        <b/>
        <sz val="12"/>
        <color theme="1"/>
        <rFont val="David"/>
        <family val="2"/>
        <charset val="177"/>
      </rPr>
      <t>8,000</t>
    </r>
  </si>
  <si>
    <t>8,000 - 5,000 = 3,000</t>
  </si>
  <si>
    <r>
      <rPr>
        <b/>
        <sz val="12"/>
        <color theme="1"/>
        <rFont val="David"/>
        <family val="2"/>
        <charset val="177"/>
      </rPr>
      <t>שלישית</t>
    </r>
    <r>
      <rPr>
        <sz val="12"/>
        <color theme="1"/>
        <rFont val="David"/>
        <family val="2"/>
        <charset val="177"/>
      </rPr>
      <t>: הואיל ועלות המחשב שנרכש גבוהה מהסכום ששולם, ההפרש מהווה התחייבות לספק המחשבים:</t>
    </r>
  </si>
  <si>
    <t>זכרו: סוגריים = מינוס בחשבונאות.</t>
  </si>
  <si>
    <t>חובה מחשבים</t>
  </si>
  <si>
    <t>כי נכס המזומן קטן</t>
  </si>
  <si>
    <t>כי נכס המחשבים גדל</t>
  </si>
  <si>
    <t>כי ההתחייבות לספקים גדלה</t>
  </si>
  <si>
    <t>הלוואה
לזמן קצר</t>
  </si>
  <si>
    <t>זכות הלוואה לזמן קצר</t>
  </si>
  <si>
    <t>כרטיסי חשבון:</t>
  </si>
  <si>
    <t>הוצאות ריבית</t>
  </si>
  <si>
    <t>קניות</t>
  </si>
  <si>
    <t>הוצאות חשמל</t>
  </si>
  <si>
    <t>הוצאות פרסום</t>
  </si>
  <si>
    <t>שכר ומשכורות</t>
  </si>
  <si>
    <t>זכות הלוואה לזמן ארוך</t>
  </si>
  <si>
    <t>חובה הוצאות שכר ומשכורות</t>
  </si>
  <si>
    <t>הוצ׳ ריבית</t>
  </si>
  <si>
    <t>הלוואה לז״א</t>
  </si>
  <si>
    <t>הלוואה לזמן ארוך (לז״א)</t>
  </si>
  <si>
    <t>הוצ׳ חשמל</t>
  </si>
  <si>
    <t>הוצ׳ פרסום</t>
  </si>
  <si>
    <t>הלוואה לז״ק</t>
  </si>
  <si>
    <t>הלוואה לזמן קצר (לז״ק)</t>
  </si>
  <si>
    <t>סה״כ</t>
  </si>
  <si>
    <t>ריכוז ערכי פקודות יומן</t>
  </si>
  <si>
    <t>נפתח ״מיני טבלה״ (כרטיס) לכל חשבון שנוצר בו שינוי בעקבות הפקודות, ונתעד את ערכיהן בצורה מרוכזת.</t>
  </si>
  <si>
    <t>א</t>
  </si>
  <si>
    <t>ב</t>
  </si>
  <si>
    <t>ה</t>
  </si>
  <si>
    <t>ט</t>
  </si>
  <si>
    <t>ג</t>
  </si>
  <si>
    <t>ד</t>
  </si>
  <si>
    <t>ו</t>
  </si>
  <si>
    <t>ז</t>
  </si>
  <si>
    <t>ח</t>
  </si>
  <si>
    <t>י</t>
  </si>
  <si>
    <t>סיכום ביניים</t>
  </si>
  <si>
    <t>יתרה</t>
  </si>
  <si>
    <t>ד                  ה</t>
  </si>
  <si>
    <t>ה                   ו</t>
  </si>
  <si>
    <t>ט                   י</t>
  </si>
  <si>
    <t>מאזן בוחן תלת טורי- טכניקה לריכוז מלא של כל הכרטיסים:</t>
  </si>
  <si>
    <t>מטרת מאזן הבוחן התלת טורי היא לרכז באופן מסודר את כלל הערכים של כל הכרטיסים.</t>
  </si>
  <si>
    <t>הוא נקרא ״תלת טורי״ משום שכולל טור א - יתרת פתיחה (לתחילת התקופה, 1.1)</t>
  </si>
  <si>
    <t>טור ב - שינויים / תנועות התקופה (במהלך השנה)</t>
  </si>
  <si>
    <t>טור ג - סיכום - יתרה סופית לתום התקופה (31.12)</t>
  </si>
  <si>
    <t xml:space="preserve">ספציפית במקרה זה, לא היו קיימות יתרות פתיחה (״החברה חדשה״). לכן נותיר את טור א ריק. </t>
  </si>
  <si>
    <t>יתרת פתיחה (א)</t>
  </si>
  <si>
    <t>תנועות התקופה (ב)</t>
  </si>
  <si>
    <t>יתרת סגירה (ג)</t>
  </si>
  <si>
    <t>מטרה:</t>
  </si>
  <si>
    <t>לחדד ולהדגיש את הפער העקרוני בין עיתוי כניסה ויציאת מזומנים, לבין עיתוי הפעילות שבגינה נרשמות הכנסות</t>
  </si>
  <si>
    <t>או הוצאות.</t>
  </si>
  <si>
    <t>לחדד את אופן רישום פקודות היומן הקשורות, והמעגל החשבונאי השלם של התהליך בעסקאות לשירות מתמשך</t>
  </si>
  <si>
    <t>בכללותן.</t>
  </si>
  <si>
    <t>ב. אמידת סכום ההכנסה / ההוצאה בפועל, בהתאם לשווי השירות שנצרך / סופק.</t>
  </si>
  <si>
    <t>ג. אמידת הערך ההפרשי המצטבר בין סכומי ההכנסות / ההוצאות לבין סכומי המזומן המצטברים ששולמו / התקבלו.</t>
  </si>
  <si>
    <t>ד. רישום פקודת יומן מתאימה לעדכון ההפרש (פקודת התאמה / פקודת חתך).</t>
  </si>
  <si>
    <t>לא מספיק ברור? הבה נדגים.</t>
  </si>
  <si>
    <t>שאלה 1</t>
  </si>
  <si>
    <t>שסיפקה החברה למשרד הביטחון, לצד סכומי התקבולים שנתקבלו במזומן בכל שנה בהתאם להסדר עם הלקוח:</t>
  </si>
  <si>
    <t>שירות שסופק</t>
  </si>
  <si>
    <t>ע״י שייקונים</t>
  </si>
  <si>
    <t>מזומן ששולם</t>
  </si>
  <si>
    <t>לחברת שייקונים</t>
  </si>
  <si>
    <t>שנת</t>
  </si>
  <si>
    <t>הפעילות</t>
  </si>
  <si>
    <t>הכספית</t>
  </si>
  <si>
    <t xml:space="preserve">אלפי ש״ח </t>
  </si>
  <si>
    <t>נדרש - השלימו את הטבלה הבאה:</t>
  </si>
  <si>
    <t>שנה</t>
  </si>
  <si>
    <t>הכנסה</t>
  </si>
  <si>
    <t>שנרשמה</t>
  </si>
  <si>
    <t xml:space="preserve">בהנהלת </t>
  </si>
  <si>
    <t>חשבונות</t>
  </si>
  <si>
    <t>על בסיס מזומן</t>
  </si>
  <si>
    <t>בדוח</t>
  </si>
  <si>
    <t>רווח והפסד</t>
  </si>
  <si>
    <t>לפי שווי</t>
  </si>
  <si>
    <t>פקודת התאמה</t>
  </si>
  <si>
    <t>או ״פקודת חתך״</t>
  </si>
  <si>
    <t>יתרת</t>
  </si>
  <si>
    <t>התחשבנות</t>
  </si>
  <si>
    <t>מצטברת</t>
  </si>
  <si>
    <t>בין הצדדים</t>
  </si>
  <si>
    <t>״יתרת חתך״</t>
  </si>
  <si>
    <t>ח׳ מזומן 80
ז׳ הכנסה 80</t>
  </si>
  <si>
    <t>פקודה להכנסה</t>
  </si>
  <si>
    <t>אין יתרת חתך</t>
  </si>
  <si>
    <t>שאלה 2</t>
  </si>
  <si>
    <t>חברת ״חלוניים״ עוסקת בייעוץ להטמעת מערכות מחשב גרועות בעסקים. להלן נתונים בדבר שווי שירותי ייעוץ</t>
  </si>
  <si>
    <t>שסיפקה החברה למשרד קקמייקה, לצד סכומי התקבולים שנתקבלו במזומן בכל שנה בהתאם להסדר עם הלקוח:</t>
  </si>
  <si>
    <t>ע״י חלוניים</t>
  </si>
  <si>
    <t>לחברת חלוניים</t>
  </si>
  <si>
    <t>הסברים:</t>
  </si>
  <si>
    <t>בצהוב - פקודת יומן שמכירה בהכנסה לפי הנהלת החשבונות, לפי בסיס מזומן. הרעיון הוא שבשלב הרישום הראשוני, למרות</t>
  </si>
  <si>
    <t>שזה כמובן לא מדויק, מנהל החשבונות כן רושם את ההכנסה לפי המזומן.</t>
  </si>
  <si>
    <t>בירוק - ההכנסה הסופית בפועל. זו לא פקודה, אלא היעד הכולל של סך הרישומים. למעשה, לאחר האפיון ההנדסי של השלמת</t>
  </si>
  <si>
    <t>הפרויקט, יודעים מהו השווי של השירות שסופק ובהתאם קובעים את ההכנסה הסופית שחייבת להיות מוכרת בדיווח</t>
  </si>
  <si>
    <t>השנתי למשקיע בהתאם לעיקרון של ״שווי השירות שסופק״.</t>
  </si>
  <si>
    <t>וכלל הערכים בירוק (שווי שירות שסופק) במצטבר, לתום כל אחת מהשנים בנפרד, ולחשב את ההפרש ביניהם. אם קיבלנו</t>
  </si>
  <si>
    <t>בצהוב יותר מהשירות שסיפקנו בירוק (במצטבר), ייווצר חשבון של הכנסות מראש המשקף התחייבות, ואם קיבלנו בצהוב</t>
  </si>
  <si>
    <t xml:space="preserve">פחות מהשירות שסיפקנו בירוק (במצטבר), ייווצר חשבון של הכנסות לקבל המשקף נכס. </t>
  </si>
  <si>
    <t>רקע, מטרות וקישור לחומר הנלמד:</t>
  </si>
  <si>
    <t>עד כה עסקנו ב:</t>
  </si>
  <si>
    <t>א. מטרת הדוחות הכספיים (מצב כספי - נכסים, התחייבויות והון, ותוצאות פעילות - רווח והפסד).</t>
  </si>
  <si>
    <t>ב. הצגנו את תהליך הרישום החשבונאי הבסיסי ופקודות היומן וריכוזיהן.</t>
  </si>
  <si>
    <t>ג. התמקדנו בדיון בהכרה בהכנסות ובהוצאות על בסיס הנשען על פעילויות ולא על עיתוי המזומן, כולל התאמות</t>
  </si>
  <si>
    <t xml:space="preserve">    הנובעות מכך בתהליך הרישום השוטף (פקודות ויתרות חתך).</t>
  </si>
  <si>
    <t>כעת:</t>
  </si>
  <si>
    <t>מטרתנו בשיעורים הקרובים היא להעמיק ברכיבים ספציפיים של הדיווח, ובפרט - באופן מדידתם של נכסים שונים.</t>
  </si>
  <si>
    <r>
      <t>הנכס הראשון שנעסוק במדידתו הוא נכס ה</t>
    </r>
    <r>
      <rPr>
        <b/>
        <sz val="12"/>
        <color theme="1"/>
        <rFont val="David"/>
        <family val="2"/>
        <charset val="177"/>
      </rPr>
      <t>לקוחות</t>
    </r>
    <r>
      <rPr>
        <sz val="12"/>
        <color theme="1"/>
        <rFont val="David"/>
        <family val="2"/>
        <charset val="177"/>
      </rPr>
      <t xml:space="preserve">. </t>
    </r>
  </si>
  <si>
    <t>לקוחות - הגדרה:</t>
  </si>
  <si>
    <t>ההטבה הגלומה בנכס הלקוחות נובעת מהציפייה הטבעית שחוב הלקוחות כלפי החברה יסולק בדרך של גבייה על ידה.</t>
  </si>
  <si>
    <t>נשאלת השאלה - ומה במקרים שבהם הגבייה איננה צפויה להתבצע?</t>
  </si>
  <si>
    <t>מה אם הלקוח חווה קשיים פיננסיים? לא מצליח לשלם? וכיו״ב.</t>
  </si>
  <si>
    <t>אנו טוענים שפגיעה ביכולת הגבייה מלקוחות משמעה פגיעה בהטבות הכלכליות הצפויות מהלקוח - קרי הקטנת נכס</t>
  </si>
  <si>
    <t>הלקוחות.</t>
  </si>
  <si>
    <t>כהמחשה פשוטה, נניח שחוב לקוחות החברה כלפיה 100,000 ש״ח, אך על פי תחשיב שביצענו אנו משערים ש-20,000 ש״ח</t>
  </si>
  <si>
    <t>לא ייגבו, הלקוחות נטו יוצגו בדוח על המצב הכספי כדלקמן:</t>
  </si>
  <si>
    <t>לקוחות, ברוטו</t>
  </si>
  <si>
    <t>הלח״מ</t>
  </si>
  <si>
    <t>לקוחות, נטו - לנכסים במאזן</t>
  </si>
  <si>
    <t xml:space="preserve">ש״ח </t>
  </si>
  <si>
    <t>אפשר תרגיל שלם? ברמת בחינה?</t>
  </si>
  <si>
    <t>כן.</t>
  </si>
  <si>
    <t>להלן נתונים ועסקאות שהתרחשו בחברה במועדים שונים:</t>
  </si>
  <si>
    <t>א. במהלך 2020 ביצעה החברה מכירות בהיקף של 1,000,000 ש״ח. מתוך סכום מכירות כולל זה, מכירות בסך</t>
  </si>
  <si>
    <t>של 800,000 ש״ח בוצעו במזומן, והיתר באשראי.</t>
  </si>
  <si>
    <t>ב. במהלך 2020 ביצעה החברה גבייה מלקוחות אשר להם מכרה באשראי, בסכום של 70,000 ש״ח.</t>
  </si>
  <si>
    <t xml:space="preserve">ג. נכון ליום 31.12.2020 שיעור ההלח״מ בחברה הוא 10%. </t>
  </si>
  <si>
    <t>ד. במהלך 2021 ביצעה החברה מכירות באשראי בהיקף של 500,000 ש״ח.</t>
  </si>
  <si>
    <t>ה. במהלך 2021 גבתה החברה מלקוחות סכום של 320,000 ש״ח.</t>
  </si>
  <si>
    <t>ז. נכון ליום 31.12.2021 שיעור ההלח״מ בחברה נותר על 10%.</t>
  </si>
  <si>
    <t>ו. במהלך 2021 התגלו ונרשמו חובות אבודים בסך 4,000 ש״ח.</t>
  </si>
  <si>
    <t>נדרש: חשבו את יתרת הלקוחות נטו ואת הוצאות ההלח״מ. בתשובתכם, התייחסו למילוי הכרטיסים הבאים:</t>
  </si>
  <si>
    <t>הוצאות הלח״מ</t>
  </si>
  <si>
    <t>פרטים</t>
  </si>
  <si>
    <t xml:space="preserve">חברת ״ניסיון הטמעה״ הוקמה ב-1.1.2020. החברה עוסקת במגוון רחב של פעילויות עסקיות. </t>
  </si>
  <si>
    <t>א. במהלך 2020 ביצעה החברה מכירות בהיקף של 1,000,000 ש״ח באשראי.</t>
  </si>
  <si>
    <t>ב. במהלך 2020 ביצעה החברה גבייה מלקוחות בסכום של 900,000 ש״ח.</t>
  </si>
  <si>
    <t xml:space="preserve">ג. נכון ליום 31.12.2020 שיעור ההלח״מ בחברה הוא 8%. </t>
  </si>
  <si>
    <t>ד. במהלך 2021 ביצעה החברה מכירות באשראי בהיקף של 560,000 ש״ח.</t>
  </si>
  <si>
    <t>ה. במהלך 2021 גבתה החברה מלקוחות סכום של 180,000 ש״ח.</t>
  </si>
  <si>
    <t>ו. במהלך 2021 התגלו ונרשמו חובות אבודים בסך 2,000 ש״ח.</t>
  </si>
  <si>
    <t>ז. נכון ליום 31.12.2021 שיעור ההלח״מ בחברה מוערך ב-15%.</t>
  </si>
  <si>
    <t>לקוחות, נטו:</t>
  </si>
  <si>
    <t>ברוטו</t>
  </si>
  <si>
    <t>תרגיל 1 - שלם - ברמת בחינה - שדרכו נחדד גם את ההגדרות הנוספות (שי פותר)</t>
  </si>
  <si>
    <t>תרגיל 2 - שלם - לתרגול כיתתי משותף / עצמאי למחצה</t>
  </si>
  <si>
    <t>31.12.2020</t>
  </si>
  <si>
    <t xml:space="preserve">  31.12.2020</t>
  </si>
  <si>
    <t>הסבר - לגבי כרטיסים ב-31.12.2020:</t>
  </si>
  <si>
    <t>של אי גבייה הוא 13,000 = 10% * 130,000. הסכום הכולל של ההלח״מ תמיד בזכות - מייצג ״פגיעה״ בגבייה</t>
  </si>
  <si>
    <t>הצפויה (בנכסים).</t>
  </si>
  <si>
    <r>
      <rPr>
        <b/>
        <sz val="12"/>
        <color theme="1"/>
        <rFont val="David"/>
        <family val="2"/>
        <charset val="177"/>
      </rPr>
      <t>ראשית</t>
    </r>
    <r>
      <rPr>
        <sz val="12"/>
        <color theme="1"/>
        <rFont val="David"/>
        <family val="2"/>
        <charset val="177"/>
      </rPr>
      <t>, לתום כל שנה נחשב את יתרת הלקוחות ברוטו (חובה פחות זכות) - כך הגענו ל-130,000.</t>
    </r>
  </si>
  <si>
    <r>
      <rPr>
        <b/>
        <sz val="12"/>
        <color theme="1"/>
        <rFont val="David"/>
        <family val="2"/>
        <charset val="177"/>
      </rPr>
      <t>שנית</t>
    </r>
    <r>
      <rPr>
        <sz val="12"/>
        <color theme="1"/>
        <rFont val="David"/>
        <family val="2"/>
        <charset val="177"/>
      </rPr>
      <t xml:space="preserve">, על פי הנתונים, שיעור ההלח״מ הוא 10% (מיתרת הלקוחות ברוטו) כלומר סך ההלח״מ = סך החוב בסיכון </t>
    </r>
  </si>
  <si>
    <r>
      <rPr>
        <b/>
        <sz val="12"/>
        <color theme="1"/>
        <rFont val="David"/>
        <family val="2"/>
        <charset val="177"/>
      </rPr>
      <t>שלישית</t>
    </r>
    <r>
      <rPr>
        <sz val="12"/>
        <color theme="1"/>
        <rFont val="David"/>
        <family val="2"/>
        <charset val="177"/>
      </rPr>
      <t>, עלינו לשאול עצמנו: איזה חלק מתוך סך ההלח״מ לתום שנה - נובע מחוב בעייתי שנוצר השנה (2020)?</t>
    </r>
  </si>
  <si>
    <t>יתרת הלח״מ לתחילת שנה 1.1.2020:</t>
  </si>
  <si>
    <t>החברה רק הוקמה בתאריך זה, אין בה ״כלום״</t>
  </si>
  <si>
    <t>יתרת ההלח״מ לתום שנה 31.12.2020:</t>
  </si>
  <si>
    <t>הוצאות הלח״מ = החלק שנוצר השנה</t>
  </si>
  <si>
    <t>הסבר - חוב אבוד - סעיף ו:</t>
  </si>
  <si>
    <t>תמיד ולעולם רישום חוב אבוד מקבל ביטוי כקיטון בסכום החוב האבוד בשני חשבונות:</t>
  </si>
  <si>
    <t>בחשבון הלקוחות ברוטו (קיטון ב״זכות״):</t>
  </si>
  <si>
    <t>בחשבון ההלח״מ (קיטון ב״חובה״):</t>
  </si>
  <si>
    <t>31.12.2021</t>
  </si>
  <si>
    <t>הסבר - מדוע בסעיף ז רשמנו הלח״מ והוצ׳ הלח״מ בסך 21,600?</t>
  </si>
  <si>
    <t>ידוע שלתחילת 2021 (31.12.2020) יתרת ההלח״מ:</t>
  </si>
  <si>
    <t>בנוסף ידוע שבמהלך 2021 נוצר חוב אבוד שהקטין ההלח״מ ב:</t>
  </si>
  <si>
    <t>בנוסף ידוע שלתום 2021 - 31.12.2021, יתרת ההלח״מ:</t>
  </si>
  <si>
    <t>לכן, בהכרח נוצרו השנה 2021 חובות בעייתיים נוספים - הוצ׳ הלח״מ:</t>
  </si>
  <si>
    <t xml:space="preserve">30,600 - 9,000 = </t>
  </si>
  <si>
    <t>סיכום - תבנית עבודה וטיפים:</t>
  </si>
  <si>
    <t>לקוחות (ברוטו)</t>
  </si>
  <si>
    <t xml:space="preserve">הוצ׳ הלח״מ </t>
  </si>
  <si>
    <t>תחילת שנה</t>
  </si>
  <si>
    <t>מכירות
באשראי</t>
  </si>
  <si>
    <t>גבייה
מלקוחות</t>
  </si>
  <si>
    <t>חוב אבוד</t>
  </si>
  <si>
    <t>הוצ׳ הלח״מ</t>
  </si>
  <si>
    <t>סוף שנה</t>
  </si>
  <si>
    <t>יתרת סגירה:
חובה פחות
זכות</t>
  </si>
  <si>
    <t>כפול אחוז
הלח״מ</t>
  </si>
  <si>
    <t>סך הלח״מ
לסוף שנה</t>
  </si>
  <si>
    <t>מטרת על:</t>
  </si>
  <si>
    <t>לתרגל ולהראות מגוון ניסוחים רלוונטיים לשאלות בשני נושאים משמעותיים אלו (חתך והלח״מ).</t>
  </si>
  <si>
    <t xml:space="preserve">תרגיל 1: </t>
  </si>
  <si>
    <t>ב-1 בינואר 2014 חתמה חברה על הסכם שבמסגרתו תספק שירותים לחברה אחרת בשווי כולל של 600,000 ש״ח.</t>
  </si>
  <si>
    <t xml:space="preserve">השירות אמור להינתן במהלך שלוש שנים. </t>
  </si>
  <si>
    <t xml:space="preserve">ב. מהו סכום ההכנסה שתוכר בספרי החברה בכל אחת מהשנים. </t>
  </si>
  <si>
    <t>א. מהי פקודת היומן שתירשם בהנהלת החשבונות של החברה (על בסיס מזומן) - בכל שנה.</t>
  </si>
  <si>
    <t>ג. מהי פקודת ההתאמה / החתך בכל אחת מהשנים.</t>
  </si>
  <si>
    <t>ד. מהי יתרת החתך לתום כל אחת מהשנים.</t>
  </si>
  <si>
    <t>פקודת יומן - הנה״ח</t>
  </si>
  <si>
    <t>סכום הכנסה (פעילות)</t>
  </si>
  <si>
    <t>פ. התאמה</t>
  </si>
  <si>
    <t>יתרת חתך</t>
  </si>
  <si>
    <r>
      <t xml:space="preserve">בהנחה </t>
    </r>
    <r>
      <rPr>
        <u/>
        <sz val="12"/>
        <color theme="1"/>
        <rFont val="David"/>
        <family val="2"/>
        <charset val="177"/>
      </rPr>
      <t>שתמורת העסקה התקבלה בשלמותה מיד במועד החתימה</t>
    </r>
    <r>
      <rPr>
        <sz val="12"/>
        <color theme="1"/>
        <rFont val="David"/>
        <family val="2"/>
        <charset val="177"/>
      </rPr>
      <t xml:space="preserve"> על ההסדר, נדרש:</t>
    </r>
  </si>
  <si>
    <t>ח׳ מזומן 600,000</t>
  </si>
  <si>
    <t>ז׳ הכנסה 600,000</t>
  </si>
  <si>
    <t>1/3 * 600,000 = 200,000</t>
  </si>
  <si>
    <t>הכנסות מראש</t>
  </si>
  <si>
    <t>התחייבות</t>
  </si>
  <si>
    <t>ז׳ הכנסות מראש 400,000</t>
  </si>
  <si>
    <t>ח׳ הכנסות 400,000</t>
  </si>
  <si>
    <t>אין תשלום / אין רישום</t>
  </si>
  <si>
    <t>ח׳ הכנסות מראש 200,000</t>
  </si>
  <si>
    <t>ז׳ הכנסות 200,000</t>
  </si>
  <si>
    <t xml:space="preserve">תרגיל 2: </t>
  </si>
  <si>
    <t>בדיון סוער שנערך בחשבות החברה שבה אתם עובדים, נאמר על ידי החשב:</t>
  </si>
  <si>
    <t>״</t>
  </si>
  <si>
    <t>ברצוני להסב את לבכם, הנהלה יקרה, לכך שחל עיוות בהוצאות השכר והמשכורות המדווחות</t>
  </si>
  <si>
    <t xml:space="preserve">בדוח רווח והפסד. </t>
  </si>
  <si>
    <t>לפי נתוני הוצאות השכר שהגיעו לידיי, הן מסתכמות ב-44,000 ש״ח; אך נתון זה לא מביא בחשבון</t>
  </si>
  <si>
    <t>את שכר דצמבר השנה</t>
  </si>
  <si>
    <t>לעומתו, טען סמנכ״ל משאבי האנוש:</t>
  </si>
  <si>
    <t>אתה זה שטועה, חשב יקר. אנחנו נמצאים ב-31.12. המשמעות היא שמשכורות דצמבר טרם שולמו,</t>
  </si>
  <si>
    <t>ולכן, אין שום היגיון להכיר בהוצאות שכר נוספות בגין דצמבר (הן תשולמנה ב-10.1 של השנה הבאה) ״</t>
  </si>
  <si>
    <t>בהנחה שהוצאות השכר מתפלגות באופן אחיד על פני השנה:</t>
  </si>
  <si>
    <t>א. מי מהם צודק.</t>
  </si>
  <si>
    <t>ב. מהי פקודת היומן שנרשמה בהנהלת החשבונות בגין השכר המופיע במערכת.</t>
  </si>
  <si>
    <t>ג. האם נדרשת פקודת התאמה? במידה ולא, הסבירו מדוע. במידה וכן, רשמו אותה.</t>
  </si>
  <si>
    <t>פתרון תרגיל 2:</t>
  </si>
  <si>
    <t>א. מאד חשוב לזכור: הגורם שיקבע את גובה ההוצאה הוא שווי השירות שנצרך - ולא התשלום שבוצע.</t>
  </si>
  <si>
    <t>ספציפית לגבי שכר - כל עוד מדובר בשירות עבודה שניתן השנה, לא משנה בגין איזה חודש, ולא משנה מתי ישולם - ערכו הוא חלק</t>
  </si>
  <si>
    <t>מההוצאות השנה.</t>
  </si>
  <si>
    <t xml:space="preserve">ספציפית כאן: שכר דצמבר השנה חייב להירשם כחלק מהוצאות השנה בדוחות, גם אם טרם שולם. </t>
  </si>
  <si>
    <t>לכן החשב צודק.</t>
  </si>
  <si>
    <t xml:space="preserve">ב. בהנהלת החשבונות - רושמים פקודת יומן למתן ביטוי להוצאות השכר לפי הסכום ששולם בפועל. </t>
  </si>
  <si>
    <t>הואיל ונתון ששולמו בפועל במזומן 44,000 ש״ח, מנהל החשבונות ירשום את הפקודה:</t>
  </si>
  <si>
    <t>ח׳ הוצאות שכר 44,000</t>
  </si>
  <si>
    <t>ז׳ מזומן 44,000</t>
  </si>
  <si>
    <t>ג. פקודת התאמה - מטרתה לדאוג להתאים / לתקן את הוצאות השכר שנרשמו, לסכום הנכון שלהן, שמשקף את השכר</t>
  </si>
  <si>
    <t>לכל השנה, כולל דצמבר.</t>
  </si>
  <si>
    <t>על פי נתוני השאלה - הוצאות השכר ללא דצמבר:</t>
  </si>
  <si>
    <t>כלומר למספר חודשים (שנה, ללא דצמבר):</t>
  </si>
  <si>
    <t>לכן שכר לחודש אחד (התפלגות אחידה):</t>
  </si>
  <si>
    <t xml:space="preserve">44,000 / 11 = </t>
  </si>
  <si>
    <t>כעת, כשאנו יודעים מה השכר לחודש אחד (שמתאים גם לשכר דצמבר) נרשום הוצאות שכר נוספות</t>
  </si>
  <si>
    <t>גם עבור חודש זה - פקודת התאמה:</t>
  </si>
  <si>
    <t>ח׳ הוצאות שכר 4,000</t>
  </si>
  <si>
    <t>ז׳ הוצאות לשלם 4,000</t>
  </si>
  <si>
    <t>תרגיל 3:</t>
  </si>
  <si>
    <t>חברה חתמה על הסכם לביטוח המבנים שבבעלותה. עלות פוליסת הביטוח לשנה 100,000 ש״ח והיא בתוקף לשנה מה-1.3.2020.</t>
  </si>
  <si>
    <t xml:space="preserve">ב-1.3.2021 חודשה הפוליסה לשנה נוספת, בעלות של 80,000 ש״ח. </t>
  </si>
  <si>
    <t>א. מהי פקודת היומן שתירשם בהנהלת החשבונות בגין הביטוח בשנים 2020 ו-2021. הניחו שעל ביטוח משלמים תמיד במזומן במועד החתימה.</t>
  </si>
  <si>
    <t xml:space="preserve">ב. מהן הוצאות הביטוח שתכללנה בדוחות הכספיים בכל שנה. </t>
  </si>
  <si>
    <t xml:space="preserve">ג. מהי יתרת החתך לתום כל אחת מהשנים 2020 ו-2021. </t>
  </si>
  <si>
    <t xml:space="preserve">ד. מהי פקודת ההתאמה שתרשם בשנים 2020 ו-2021. </t>
  </si>
  <si>
    <t>פקודת הנה״ח (לפי מזומן)</t>
  </si>
  <si>
    <t>הוצאות ביטוח לדיווח</t>
  </si>
  <si>
    <t>פקודת ההתאמה</t>
  </si>
  <si>
    <t>יתרת החתך</t>
  </si>
  <si>
    <t>ח׳ הוצאות ביטוח 100,000</t>
  </si>
  <si>
    <t>ז׳ מזומן 100,000</t>
  </si>
  <si>
    <t>הוצ׳ מראש</t>
  </si>
  <si>
    <t>נכס</t>
  </si>
  <si>
    <t>ח׳ הוצ׳ מראש 16,667</t>
  </si>
  <si>
    <t>ז׳ הוצאות ביטוח 16,667</t>
  </si>
  <si>
    <t>ח׳ הוצאות ביטוח 80,000</t>
  </si>
  <si>
    <t xml:space="preserve">השתמשנו בחודשיים של </t>
  </si>
  <si>
    <t>החוזה הישן:</t>
  </si>
  <si>
    <t>100,000/12 * 2 = 16,667</t>
  </si>
  <si>
    <t>וגם ב-10 חודשים נוספים</t>
  </si>
  <si>
    <t>של החוזה החדש:</t>
  </si>
  <si>
    <t>80,000/12 * 10 = 66,667</t>
  </si>
  <si>
    <t>סה״כ שירות שנצרך:</t>
  </si>
  <si>
    <t xml:space="preserve">16,667 + 66,667 = </t>
  </si>
  <si>
    <r>
      <t>100,000/12 * 10 =</t>
    </r>
    <r>
      <rPr>
        <b/>
        <sz val="12"/>
        <color rgb="FFFF0000"/>
        <rFont val="David"/>
        <family val="2"/>
        <charset val="177"/>
      </rPr>
      <t xml:space="preserve">  83,333</t>
    </r>
  </si>
  <si>
    <r>
      <t xml:space="preserve">ז׳ מזומן </t>
    </r>
    <r>
      <rPr>
        <b/>
        <sz val="12"/>
        <color rgb="FF0070C0"/>
        <rFont val="David"/>
        <family val="2"/>
        <charset val="177"/>
      </rPr>
      <t>100,000</t>
    </r>
  </si>
  <si>
    <r>
      <t xml:space="preserve">ז׳ מזומן </t>
    </r>
    <r>
      <rPr>
        <b/>
        <sz val="12"/>
        <color rgb="FF0070C0"/>
        <rFont val="David"/>
        <family val="2"/>
        <charset val="177"/>
      </rPr>
      <t>80,000</t>
    </r>
  </si>
  <si>
    <t>ז׳ הוצאות מראש 3,334</t>
  </si>
  <si>
    <t>ח׳ הוצאות ביטוח 3,334</t>
  </si>
  <si>
    <t>תרגיל 4:</t>
  </si>
  <si>
    <t xml:space="preserve">אבנר מעוניין להגשים את חלומו בתור עובד דלפק במקדולנדס. </t>
  </si>
  <si>
    <t>הוא הגיע להסדר ייחודי מול סניף מגידו שמאפשר לו לקבל את השכר בהסדר כדלקמן:</t>
  </si>
  <si>
    <t>אבנר יתחיל לעבוד ב-1.4.2020. את שכרו בגין שנת עבודה מלאה ראשונה (12 חודשים) יקבל רק בתום אותה שנה שלמה.</t>
  </si>
  <si>
    <t>השכר שיקבל ב-1.4.2021 יהיה 40,000 ש״ח.</t>
  </si>
  <si>
    <t>לאחר מכן, יחודש ההסכם של אבנר, ובמסגרתו יקבל 60,000 ש״ח כשכר עבודה מיד במועד החידוש (1.4.2021) לשנה.</t>
  </si>
  <si>
    <t>רשמו את פקודות היומן למתן ביטוי להוצאות השכר בהנהלת החשבונות של סניף מגידו, כולל פקודות התאמה ויתרות חתך.</t>
  </si>
  <si>
    <t>פקודה בהנה״ח</t>
  </si>
  <si>
    <t>סך הוצאות שכר</t>
  </si>
  <si>
    <t>אין תשלום - אין רישום</t>
  </si>
  <si>
    <t xml:space="preserve">אבנר מקבל - </t>
  </si>
  <si>
    <t>גם את השכר שחייבים לו</t>
  </si>
  <si>
    <t>על שנת העבודה הראשונה:</t>
  </si>
  <si>
    <t>וגם מראש את השכר עבור</t>
  </si>
  <si>
    <t>שנת העבודה הנוספת:</t>
  </si>
  <si>
    <t>ח׳ הוצאות שכר 100,000</t>
  </si>
  <si>
    <t>40,000/12 * 9 =</t>
  </si>
  <si>
    <t>בגין ינואר, פברואר, מרס:</t>
  </si>
  <si>
    <t>מועסק לפי חוזה ישן:</t>
  </si>
  <si>
    <t>40,000/12 * 3 =</t>
  </si>
  <si>
    <t>בגין אפריל-דצמבר:</t>
  </si>
  <si>
    <t>מועסק לפי חוזה חדש:</t>
  </si>
  <si>
    <t xml:space="preserve">60,000/12 * 9 = </t>
  </si>
  <si>
    <t>סה״כ הוצ׳:</t>
  </si>
  <si>
    <t>הוצ׳ לשלם:</t>
  </si>
  <si>
    <t>הוצ׳ מראש:</t>
  </si>
  <si>
    <t>ח׳ הוצאות שכר 30,000</t>
  </si>
  <si>
    <t>ז׳ הוצאות לשלם 30,000</t>
  </si>
  <si>
    <t>ח׳ הוצאות לשלם 30,000</t>
  </si>
  <si>
    <t>ז׳ הוצאות שכר 45,000</t>
  </si>
  <si>
    <t>ח׳ הוצאות מראש 15,000</t>
  </si>
  <si>
    <t xml:space="preserve">     נכס</t>
  </si>
  <si>
    <t>תרגיל 5</t>
  </si>
  <si>
    <t>בחברה ידועים הנתונים הבאים:</t>
  </si>
  <si>
    <t xml:space="preserve">יתרת הלקוחות ברוטו ליום 31.12.2020 היא 40,000 ש״ח. </t>
  </si>
  <si>
    <t>שיעור ההלח״מ קבוע - 5%.</t>
  </si>
  <si>
    <t xml:space="preserve">במהלך 2021, החברה ביצעה מכירות באשראי בהיקף של 100,000 ש״ח, גבתה מלקוחות 80,000 ש״ח וכן נתגלו חובות אבודים </t>
  </si>
  <si>
    <t>בהיקף של 1,000 ש״ח.</t>
  </si>
  <si>
    <t xml:space="preserve">נדרש: </t>
  </si>
  <si>
    <t xml:space="preserve">א. יתרת הלקוחות ברוטו ליום 31.12.2021. </t>
  </si>
  <si>
    <t xml:space="preserve">ב. יתרת ההלח״מ ליום 31.12.2021. </t>
  </si>
  <si>
    <t xml:space="preserve">ג. יתרת הלקוחות נטו ליום 31.12.2021. </t>
  </si>
  <si>
    <t xml:space="preserve">ד. הוצאות ההלח״מ לשנת 2021. </t>
  </si>
  <si>
    <t>תזכורת: הלח״מ = הפרשה לחובות מסופקים = חוב בעייתי (שבסיכון, כנראה לא ייגבה)</t>
  </si>
  <si>
    <t>תזכורת: לקוחות ברוטו בניכוי הלח״מ.</t>
  </si>
  <si>
    <t>ערך מחולץ.</t>
  </si>
  <si>
    <t>מכירה 2021</t>
  </si>
  <si>
    <t>גבייה 2021</t>
  </si>
  <si>
    <t>חוב אבוד 2021</t>
  </si>
  <si>
    <t>פתרון א</t>
  </si>
  <si>
    <t>פתרון ב</t>
  </si>
  <si>
    <t>פתרון ד</t>
  </si>
  <si>
    <t>לקוחות, ברוטו:</t>
  </si>
  <si>
    <t>פתרון ג</t>
  </si>
  <si>
    <t>שלבי העבודה:</t>
  </si>
  <si>
    <t xml:space="preserve">א. הצבנו את יתרת הלקוחות ברוטו לתחילת התקופה בחובה, ומתוכה חישבנו הלח״מ לתחילת תקופה בזכות. </t>
  </si>
  <si>
    <t>ב. מציבים מכירות באשראי בחובה בלקוחות ברוטו, גבייה בזכות בלקוחות ברוטו.</t>
  </si>
  <si>
    <t>ג. חוב אבוד: מוצב בזכות בלקוחות ברוטו, ובחובה בהלח״מ.</t>
  </si>
  <si>
    <t>ד. מחשבים את יתרת הסגירה של הלקוחות ברוטו, וכופלים באחוז ההלח״מ כדי להגיע ליתרת ההלח״מ לתום שנה בזכות.</t>
  </si>
  <si>
    <t>ה. הערך המשלים את השינויים בהלח״מ ליתרת הסגירה של ההלח״מ (בצבע חום) הוא הוצאות ההלח״מ.</t>
  </si>
  <si>
    <t>תרגיל 6</t>
  </si>
  <si>
    <t>יתרת הלקוחות ברוטו ליום 31.12.2020 היא 100,000 ש״ח.</t>
  </si>
  <si>
    <t>במהלך 2021 בוצעו מכירות במזומן בסך 60,000 ש״ח וכן מכירות באשראי בסך 90,000 ש״ח.</t>
  </si>
  <si>
    <t>בנוסף, בוצעו ב-2021 גביות מלקוחות בהיקף 40,000 ש״ח.</t>
  </si>
  <si>
    <t xml:space="preserve">שיעור ההלח״מ ליום 31.12.2020 הוא 5%, וליום 31.12.2021 הוא 10%. </t>
  </si>
  <si>
    <t>במהלך 2021 התגלו חובות אבודים בהיקף של 4,000 ש״ח.</t>
  </si>
  <si>
    <t>שימו לב: הוצאות הלח״מ אינן הלח״מ.</t>
  </si>
  <si>
    <t>הוצאות הלח״מ הוא הערך שמשקף את השינוי בהלח״מ שמוביל ליתרת הסגירה המצטברת של ההלח״מ.</t>
  </si>
  <si>
    <t>עובדתית, יצאנו מהלח״מ של 5,000.</t>
  </si>
  <si>
    <t>עובדתית, נוצר חוב אבוד שהקטין ההלח״מ ב-4,000.</t>
  </si>
  <si>
    <t>ולכן, היינו ״אמורים״ להשאר עם הלח״מ של 1,000.</t>
  </si>
  <si>
    <t xml:space="preserve">אלא שעובדתית, על פי נתוני סוף שנה, ההלח״מ העדכני 14,600. </t>
  </si>
  <si>
    <t>זה אומר שחל גידול נוסף השנה בהלח״מ מ-1,000 ל-14,600: ב-13,600 ואלו הוצאות ההלח״מ.</t>
  </si>
  <si>
    <t>תרגיל 7 - קצר</t>
  </si>
  <si>
    <t>בחברה ידוע כי ל-31.12.2020 יתרת הלקוחות ברוטו היא 100,000 ש״ח.</t>
  </si>
  <si>
    <t>ל-31.12.2021 יתרת הלקוחות ברוטו היא 150,000 ש״ח.</t>
  </si>
  <si>
    <t xml:space="preserve">שיעור ההלח״מ הוא 10%. </t>
  </si>
  <si>
    <t>במהלך 2021 נוצר חוב אבוד בסך 4,000 ש״ח.</t>
  </si>
  <si>
    <t>נדרש: מהן הוצאות ההלח״מ לשנת 2021?</t>
  </si>
  <si>
    <t xml:space="preserve">א. 9,000 ש״ח </t>
  </si>
  <si>
    <t>ב. 15,000 ש״ח</t>
  </si>
  <si>
    <t>ג. 5,000 ש״ח</t>
  </si>
  <si>
    <t>ד. 6,000 ש״ח</t>
  </si>
  <si>
    <t>ה. אין אף תשובה נכונה</t>
  </si>
  <si>
    <t>לא ידוע</t>
  </si>
  <si>
    <t>התשובה: א</t>
  </si>
  <si>
    <t>תרגיל 8 - קצר</t>
  </si>
  <si>
    <t>להלן נתונים בדבר יתרת הלקוחות ברוטו בחברה למועדים שונים:</t>
  </si>
  <si>
    <t>31.12.2022</t>
  </si>
  <si>
    <t>שיעור הלח״מ</t>
  </si>
  <si>
    <t>חובות אבודים</t>
  </si>
  <si>
    <t>נדרש: מהן הוצאות ההלח״מ לשנת 2022?</t>
  </si>
  <si>
    <t>א. 55,000</t>
  </si>
  <si>
    <t>ב. 50,000</t>
  </si>
  <si>
    <t>ג. 45,000</t>
  </si>
  <si>
    <t>ד. 60,000</t>
  </si>
  <si>
    <t>ה. יש יותר מדי נתונים ולכן אין אפשרות לחשב</t>
  </si>
  <si>
    <t xml:space="preserve">התשובה: ג. </t>
  </si>
  <si>
    <t>תאריך</t>
  </si>
  <si>
    <t>יח׳</t>
  </si>
  <si>
    <t>עלות יח׳</t>
  </si>
  <si>
    <t>מחיר יח׳</t>
  </si>
  <si>
    <t>תיאור</t>
  </si>
  <si>
    <t>קניה</t>
  </si>
  <si>
    <t>מכירה</t>
  </si>
  <si>
    <t>בניכוי עלויות השלמה</t>
  </si>
  <si>
    <t>בניכוי עלויות מכירה</t>
  </si>
  <si>
    <t>מכירות:</t>
  </si>
  <si>
    <t>מלאי פתיחה וקניות</t>
  </si>
  <si>
    <t>במפגשים הקודמים, דיברנו על נכסים שוטפים.</t>
  </si>
  <si>
    <t>למה הכוונה ב״נכסים שוטפים״?</t>
  </si>
  <si>
    <t>אלו הם נכסים שפרק הזמן הצפוי עד למימושם (עד לקבלת ההטבה הגלומה בהם) שנה או פחות.</t>
  </si>
  <si>
    <t>א. לקוחות - זהו נכס שוטף, הואיל ובדרך כלל, צופים לקבל את ההטבה הכלכלית (לגבות מהלקוח) בתוך שנה או פחות.</t>
  </si>
  <si>
    <t>רקע - נכסים שוטפים:</t>
  </si>
  <si>
    <r>
      <t xml:space="preserve">במפגש הנוכחי - הדוגמא הנפוצה ביותר לנכסים </t>
    </r>
    <r>
      <rPr>
        <b/>
        <sz val="12"/>
        <color theme="1"/>
        <rFont val="David"/>
        <family val="2"/>
        <charset val="177"/>
      </rPr>
      <t>לא</t>
    </r>
    <r>
      <rPr>
        <sz val="12"/>
        <color theme="1"/>
        <rFont val="David"/>
        <family val="2"/>
        <charset val="177"/>
      </rPr>
      <t xml:space="preserve"> שוטפים:</t>
    </r>
  </si>
  <si>
    <t>נכסים לא שוטפים, באופן כללי, הם נכסים שפרק הזמן הצפוי עד מימושם ארוך משנה אחת.</t>
  </si>
  <si>
    <r>
      <t xml:space="preserve">הדוגמא הבולטת שבה נעסוק במפגש זה ובמפגש הבא היא </t>
    </r>
    <r>
      <rPr>
        <b/>
        <sz val="12"/>
        <color theme="1"/>
        <rFont val="David"/>
        <family val="2"/>
        <charset val="177"/>
      </rPr>
      <t>רכוש קבוע</t>
    </r>
    <r>
      <rPr>
        <sz val="12"/>
        <color theme="1"/>
        <rFont val="David"/>
        <family val="2"/>
        <charset val="177"/>
      </rPr>
      <t>.</t>
    </r>
  </si>
  <si>
    <t>רכוש קבוע - הגדרה:</t>
  </si>
  <si>
    <t>זהו נכס שמקיים שני תנאים מצטברים:</t>
  </si>
  <si>
    <t xml:space="preserve">א. צפוי שפרק הזמן לשימוש בו יעלה על שנה. </t>
  </si>
  <si>
    <t>ב. הפריט הוא בעל קיום פיסי (מוחשי).</t>
  </si>
  <si>
    <t>דנקנר העיר את תשומת לבנו: כדי לעמוד בהגדרת רכוש קבוע, נדרש צפי שימוש ארוך טווח. במלים פשוטות: אם חברה</t>
  </si>
  <si>
    <t>קונה מכונית במטרה להשתמש בה פחות משנה, זה לא יהיה רכוש קבוע מבחינתה.</t>
  </si>
  <si>
    <t>כיצד נמדוד (נקבע סכום כספי) של פריט רכוש קבוע בדוחות הכספיים?</t>
  </si>
  <si>
    <t>בקורס הנוכחי נציג את המודל הבסיסי ביותר למדידת פריטי רכוש קבוע, שנקרא ״מודל העלות״.</t>
  </si>
  <si>
    <t>על פי מודל זה, פריט רכוש קבוע יוצג בכל תאריך דיווח לפי ההפרש:</t>
  </si>
  <si>
    <t>עלותו</t>
  </si>
  <si>
    <t>פחת נצבר</t>
  </si>
  <si>
    <t>ערך ספרים (נטו) - יוצג במאזן</t>
  </si>
  <si>
    <t>פחת נצבר (*)</t>
  </si>
  <si>
    <t>הפחת הנצבר הוא ערך המשקף בקירוב את החלק היחסי מעלות הפריט אשר נצרך, במצטבר, עד</t>
  </si>
  <si>
    <t>למועד הדיווח.</t>
  </si>
  <si>
    <t>חברת ״מורן״ בע״מ (להלן: ״החברה״) רכשה מכונה לחימום נקניקיות לעובדי המשרד. עלות המכונה 100,000 ש״ח,</t>
  </si>
  <si>
    <t>ואורך החיים השימושיים שלה 10 שנים. הניחו כי שווי המכונה בתום 10 השנים צפוי להיות 0. בהנחה שהמכונה נרכשה</t>
  </si>
  <si>
    <t>פתרון:</t>
  </si>
  <si>
    <t>הבסיס למדידה - הוא העלות הראשונית. כלומר, אם היינו מפיקים דוחות</t>
  </si>
  <si>
    <t>כספיים מיד במועד הרכישה - היינו מציגים את המכונה לחימום נקניק</t>
  </si>
  <si>
    <t>בסכום של 100,000 ש״ח.</t>
  </si>
  <si>
    <t>אלא שלאור העובדה שאורך החיים של המכונה מוגבל, יש לדאוג לייצר</t>
  </si>
  <si>
    <t>התייחסות כספית ל״שחיקה״ או ל״בלאי״ השיטתיים במכונה לאורך השנים.</t>
  </si>
  <si>
    <r>
      <t xml:space="preserve">כברירת </t>
    </r>
    <r>
      <rPr>
        <b/>
        <sz val="12"/>
        <color theme="1"/>
        <rFont val="David"/>
        <family val="2"/>
        <charset val="177"/>
      </rPr>
      <t>מחדל</t>
    </r>
    <r>
      <rPr>
        <sz val="12"/>
        <color theme="1"/>
        <rFont val="David"/>
        <family val="2"/>
        <charset val="177"/>
      </rPr>
      <t xml:space="preserve"> - הפחת השנתי קבוע - מצב כזה נקרא ״פחת בשיטת הקו הישר״. </t>
    </r>
  </si>
  <si>
    <t>המשמעות החישובית - בכל שנה, מחשבים את השחיקה / את הבלאי / הפחת לפי הנוסחה:</t>
  </si>
  <si>
    <t>מקרא:</t>
  </si>
  <si>
    <t>D</t>
  </si>
  <si>
    <t>הוצאות פחת לשנה שלמה</t>
  </si>
  <si>
    <t>I0</t>
  </si>
  <si>
    <t>עלות פריט הרכוש הקבוע</t>
  </si>
  <si>
    <t>IG</t>
  </si>
  <si>
    <t>ערך שייר / גרט - השווי הצפוי לפריט בסיום חייו</t>
  </si>
  <si>
    <t>n</t>
  </si>
  <si>
    <t>אורך החיים השימושיים בשנים</t>
  </si>
  <si>
    <r>
      <t xml:space="preserve">הוצאות פחת / בלאי / שחיקה </t>
    </r>
    <r>
      <rPr>
        <b/>
        <u/>
        <sz val="12"/>
        <color theme="1"/>
        <rFont val="David"/>
        <family val="2"/>
        <charset val="177"/>
      </rPr>
      <t>לשנה</t>
    </r>
    <r>
      <rPr>
        <b/>
        <sz val="12"/>
        <color theme="1"/>
        <rFont val="David"/>
        <family val="2"/>
        <charset val="177"/>
      </rPr>
      <t>:</t>
    </r>
  </si>
  <si>
    <t xml:space="preserve">כדי לבחון באיזה סכום כספי יוצג הפריט נטו כנכס במאזן, נצטרך להתייחס לעלות המקורית בשלמותה, </t>
  </si>
  <si>
    <t>וכן לפחת נצבר:</t>
  </si>
  <si>
    <t>עלות</t>
  </si>
  <si>
    <t>ערך ספרים</t>
  </si>
  <si>
    <t>תרגיל 2 - סוגיית קביעת העלות, פחת על שנים לא שלמות, מכירה ורווח / הפסד הון</t>
  </si>
  <si>
    <t xml:space="preserve">חברה מעוניינת לרכוש מכונה חדשנית מאד שיודעת לחמם </t>
  </si>
  <si>
    <t>גם נקניק וגם לחמניה. מחיר המחירון של המכונה היוקרתית</t>
  </si>
  <si>
    <t>לפי קטלוג היבואן הוא 200,000 ש״ח, אך היא מוצעת כעת</t>
  </si>
  <si>
    <t>במבצע Black Friday ב-40% הנחה.</t>
  </si>
  <si>
    <t>על מנת לרכוש את המכונה, נדרשת החברה לשלם מכס</t>
  </si>
  <si>
    <t>ומסי קניה בסך 20,000 ש״ח, הובלה בסך 15,000 ש״ח,</t>
  </si>
  <si>
    <t>התקנה בסך 10,000 ש״ח, ובנוסף, בכל שנה ושנה, תצטרך</t>
  </si>
  <si>
    <t xml:space="preserve">החברה לשלם עלויות אחזקה לניקוי שאריות סחוסים </t>
  </si>
  <si>
    <t xml:space="preserve">בעלות 4,000 ש״ח. </t>
  </si>
  <si>
    <t>המכונה נרכשה ב-1.1.2013, הגיעה לחברה ב-1.3.2013</t>
  </si>
  <si>
    <t>החברה צופה שאורך החיים השימושיים של המכונה יהיה 10 שנים.</t>
  </si>
  <si>
    <t>של העובדים, נמכרה המכונה בתמורה ל-25,000 ש״ח.</t>
  </si>
  <si>
    <t>נדרש: מלאו את הטבלה הבאה:</t>
  </si>
  <si>
    <t>הוצאות פחת</t>
  </si>
  <si>
    <t>עלות (*)</t>
  </si>
  <si>
    <t xml:space="preserve">עלות: </t>
  </si>
  <si>
    <t>עלות פריט רכוש קבוע תכלול:</t>
  </si>
  <si>
    <t>א. עלות רכישה ״ישירה״ נטו (בהתחשב בהנחות והחזרים ככל שנוצרו).</t>
  </si>
  <si>
    <r>
      <t xml:space="preserve">ב. כל עלות נוספת </t>
    </r>
    <r>
      <rPr>
        <b/>
        <sz val="12"/>
        <color theme="1"/>
        <rFont val="David"/>
        <family val="2"/>
        <charset val="177"/>
      </rPr>
      <t>חד פעמית</t>
    </r>
    <r>
      <rPr>
        <sz val="12"/>
        <color theme="1"/>
        <rFont val="David"/>
        <family val="2"/>
        <charset val="177"/>
      </rPr>
      <t xml:space="preserve"> שהיא חיונית להבאתו למיקום ולמצב שמיש. </t>
    </r>
  </si>
  <si>
    <t>לפי נתוני השאלה: מחיר המחירון של המכונה היוקרתית</t>
  </si>
  <si>
    <t>עלות ראשונית</t>
  </si>
  <si>
    <t>בניכוי הנחה 40%</t>
  </si>
  <si>
    <t>בתוספת מכס ומס קניה</t>
  </si>
  <si>
    <t>הובלה</t>
  </si>
  <si>
    <t>התקנה</t>
  </si>
  <si>
    <t>שימו לב: בשונה מעלויות אחרות, עלות האחזקה כאן היא עלות שתיווצר כל שנה; היא לא עלות חד פעמית כדי ליצור</t>
  </si>
  <si>
    <t xml:space="preserve">את המכונה ולהתקינה, אלא עלות שימוש שוטפת - בדומה להוצאות חשמל, אחזקה וכיוצא בזה. עלויות כאלו, </t>
  </si>
  <si>
    <t>שיחזרו על עצמן שוב ושוב במהלך חיי המכונה, כעיקרון - אינן חלק מעלותה אלא הוצאה.</t>
  </si>
  <si>
    <t>סך עלות הפריט - חשבונאית</t>
  </si>
  <si>
    <t>החיים השימושיים, ולא מחיר המכירה בפועל. אלא אם נאמר אחרת, יש להניח שהשווי הצפוי</t>
  </si>
  <si>
    <r>
      <t xml:space="preserve">עבור כל </t>
    </r>
    <r>
      <rPr>
        <u/>
        <sz val="12"/>
        <color theme="1"/>
        <rFont val="David"/>
        <family val="2"/>
        <charset val="177"/>
      </rPr>
      <t>שנה שלמה (12 חודשים)</t>
    </r>
    <r>
      <rPr>
        <sz val="12"/>
        <color theme="1"/>
        <rFont val="David"/>
        <family val="2"/>
        <charset val="177"/>
      </rPr>
      <t xml:space="preserve"> הוצאות הפחת מחושבות לפי הנוסחה:</t>
    </r>
  </si>
  <si>
    <t>על פי נתוני השאלה:</t>
  </si>
  <si>
    <r>
      <t xml:space="preserve">והפכה לזמינה לשימוש ב-1.5.2013 </t>
    </r>
    <r>
      <rPr>
        <b/>
        <sz val="12"/>
        <color rgb="FFFF0000"/>
        <rFont val="David"/>
        <family val="2"/>
        <charset val="177"/>
      </rPr>
      <t>[שימו לב! ההפחתה מתחילה רק כאשר הנכס זמין לשימוש!]</t>
    </r>
  </si>
  <si>
    <r>
      <t>כלומר: ב-</t>
    </r>
    <r>
      <rPr>
        <b/>
        <u/>
        <sz val="12"/>
        <color rgb="FF0070C0"/>
        <rFont val="David"/>
        <family val="2"/>
        <charset val="177"/>
      </rPr>
      <t>2013</t>
    </r>
    <r>
      <rPr>
        <sz val="12"/>
        <color theme="1"/>
        <rFont val="David"/>
        <family val="2"/>
        <charset val="177"/>
      </rPr>
      <t xml:space="preserve"> הפריט היה זמין לשימוש (ולכן יופחת) רק בתקופה 1.5.2013-31.12.2013 שהם 8 חודשים:</t>
    </r>
  </si>
  <si>
    <t>(***)</t>
  </si>
  <si>
    <t>התייחסות לשנת המכירה - 2017</t>
  </si>
  <si>
    <t>על פי נתוני השאלה: המכונה נרכשה ב-1.1.2013</t>
  </si>
  <si>
    <r>
      <rPr>
        <b/>
        <u/>
        <sz val="12"/>
        <color rgb="FF000000"/>
        <rFont val="David"/>
        <family val="2"/>
        <charset val="177"/>
      </rPr>
      <t>בחלוף 4 וחצי שנים ממועד הרכישה</t>
    </r>
    <r>
      <rPr>
        <sz val="12"/>
        <color rgb="FF000000"/>
        <rFont val="David"/>
        <family val="2"/>
        <charset val="177"/>
      </rPr>
      <t xml:space="preserve">, בעקבות הרעלות קיבה מרובות </t>
    </r>
  </si>
  <si>
    <r>
      <t xml:space="preserve">של העובדים, </t>
    </r>
    <r>
      <rPr>
        <b/>
        <u/>
        <sz val="12"/>
        <color rgb="FF000000"/>
        <rFont val="David"/>
        <family val="2"/>
        <charset val="177"/>
      </rPr>
      <t>נמכרה המכונה בתמורה ל-25,000 ש״ח.</t>
    </r>
  </si>
  <si>
    <t>כלומר: המכונה נמכרה ב-1.7.2017, מה שמשקף פחת של חצי שנה בלבד (6 חודשים) בשנה זו.</t>
  </si>
  <si>
    <t>״עזר״</t>
  </si>
  <si>
    <t>חישוב רווח / הפסד הון ב-2017</t>
  </si>
  <si>
    <t>במועד מכירתו של פריט רכוש קבוע, יש להכיר ברווח או בהפסד הון, בהתאם להפרש שבין תמורת</t>
  </si>
  <si>
    <t>המכירה לבין ערך הספרים ״ערב המכירה״ (רגע לפני שנמכר):</t>
  </si>
  <si>
    <t>תמורה - נתונה</t>
  </si>
  <si>
    <t>ערך ספרים ״ערב המכירה״ - 1.7.2017</t>
  </si>
  <si>
    <t>הפרש - הפסד הון</t>
  </si>
  <si>
    <t>הואיל והתמורה נמוכה מערך הספרים, נוצר הפרש שלילי שנקרא הפסד הון.</t>
  </si>
  <si>
    <t>אם התמורה היתה גבוהה מערך הספרים, היה נוצר הפרש חיובי שנקרא רווח הון.</t>
  </si>
  <si>
    <t>הפסד הון</t>
  </si>
  <si>
    <t>חשוב מאד - איפוס לאחר מכירה</t>
  </si>
  <si>
    <t xml:space="preserve">לאחר מכירת פריט רכוש קבוע, ערכו במאזן חייב להתאפס. כלומר, מאפסים גם את העלות, </t>
  </si>
  <si>
    <t xml:space="preserve">גם את הפחת שנצבר וגם את ערך הספרים של הנמכר (הפריט ״לא אצלי״). </t>
  </si>
  <si>
    <t>תרגיל 3 - תרגול נוסף של פחת קו ישר</t>
  </si>
  <si>
    <t xml:space="preserve">חברה רכשה את המחשב לעיל בגרסת הבסיס. בנוסף שילמה עבור הובלתו 301 ש״ח. </t>
  </si>
  <si>
    <t>עלויות החשמל השנתיות הן 1,000 ש״ח.</t>
  </si>
  <si>
    <t xml:space="preserve">המחשב נרכש ב-1.1.2014, אך הפך לזמין לשימוש ב-1.2.2014. </t>
  </si>
  <si>
    <t>אורך החיים השימושיים של המחשב הוא 5 שנים, וערך השייר / הגרט הצפוי בתום תקופה זו: 1,500 ש״ח.</t>
  </si>
  <si>
    <t>בתאריך 1.10.2016, לאור השקת המחשבים החדשים - Macbook Pro - החליטה החברה למכור את המחשב.</t>
  </si>
  <si>
    <t>המכירה בוצעה מיד באותו היום תמורת 3,200 ש״ח.</t>
  </si>
  <si>
    <t>נדרש: השלימו את כל הערכים בטבלה להלן:</t>
  </si>
  <si>
    <t>רווח הון</t>
  </si>
  <si>
    <t>סיכום שלבי פתרון התרגיל:</t>
  </si>
  <si>
    <t xml:space="preserve">בשלב ראשון, זיהינו את העלות. </t>
  </si>
  <si>
    <t>עלות פריט רכוש קבוע כוללת את עלות רכישתו - 4,199, וכל עלות נוספת עד שהוא מגיע לרשות החברה וזמין לשימוש.</t>
  </si>
  <si>
    <t>לכן, גם עלויות ההובלה הן חלק מהעלות - 301 ש״ח, וכך הגענו לעלות של 4,500 ש״ח.</t>
  </si>
  <si>
    <t>לגבי עלויות החשמל - זוהי עלות שימוש שחוזרת על עצמה, ולא עלות חד פעמית, לכן היא מהווה הוצאה ולא חלק</t>
  </si>
  <si>
    <t xml:space="preserve">מהנכס. </t>
  </si>
  <si>
    <t>בשלב שני, חישבנו את הוצאות הפחת. כזכור, כדי לחשב את הוצאות הפחת מתבססים על עלות (4,500) פחות ערך</t>
  </si>
  <si>
    <t xml:space="preserve">השייר / הגרט (1,500) ואת כל ההפרש הזה מחלקים בתקופת ההפחתה - 5 שנים. </t>
  </si>
  <si>
    <t>כך מקבלים הוצאות פחת לשנה שלמה:</t>
  </si>
  <si>
    <t>הואיל ובשנת 2014 הנכס היה זמין לשימוש 11 חודשים בלבד (מ-1.2.2014 עד 31.12.2014) הרי שהוצאות הפחת</t>
  </si>
  <si>
    <t>בשנת 2014 לא תרשמנה לשנה שלמה אלא ל-11 חודשים בלבד:</t>
  </si>
  <si>
    <t>בשנת 2016, הפריט נמכר ב-1.10.2016. לכן, היה ברשות החברה 9 חודשים בלבד (1.1.2016-1.10.2016):</t>
  </si>
  <si>
    <t>ערב מכירת פריט הרכוש הקבוע, מדובר בפריט שעלותו: 4,500, שהפחת הנצבר בגינו עד וכולל 1.10.2016 הוא 1,600,</t>
  </si>
  <si>
    <t>ולכן העלות המופחתת ״ערב המכירה״:</t>
  </si>
  <si>
    <t>4,500 - 1,600 = 2,900</t>
  </si>
  <si>
    <t>כדי לחשב את רווח / הפסד ההון, חישבנו את ההפרש בין תמורת המכירה הנתונה בסך 3,200 ש״ח לבין ערך הספרים</t>
  </si>
  <si>
    <t>ערב המכירה, והואיל וההפרש חיובי, מדובר ברווח הון:</t>
  </si>
  <si>
    <t>הפרש חיובי - רווח הון</t>
  </si>
  <si>
    <t>לבסוף - זכרנו שלאחר המכירה הפריט מתאפס מערך הספרים - גם העלות, גם הפחת הנצבר.</t>
  </si>
  <si>
    <t>סיכום ביניים למפגש:</t>
  </si>
  <si>
    <t>למדנו על משמעותו של רכוש קבוע, מה הוא מייצג, והעובדה שכדי למדוד אותו, נתבסס על רישום הוצאות פחת</t>
  </si>
  <si>
    <t>ופחת נצבר. השיטה היחידה שהצגנו לחישוב הפחת היתה קו ישר, שמניחה שהוצאות הפחת הן קבועות.</t>
  </si>
  <si>
    <t>במפגש הבא, נמשיך ונשכלל סוגיה זו, ונעסוק גם בשיטות פחת נוספות, שמייצגות טכניקות אחרות לצריכת</t>
  </si>
  <si>
    <t>ההטבות הגלומות בנכס.</t>
  </si>
  <si>
    <t>מטרותינו:</t>
  </si>
  <si>
    <t>א. להמשיך ולחדד אופן מדידת רכוש קבוע, הוצאות פחת, פחת נצבר, ערך ספרים והשפעות המימוש / המכירה.</t>
  </si>
  <si>
    <t xml:space="preserve">בתאריך 1.1.2017 רכשה חברת ״חכאאאאי״ בע״מ (להלן: ״החברה״) מחשב מקבוק למנכ״ל בעלות של 4,000 ש״ח. </t>
  </si>
  <si>
    <t>ידוע כי המחשב הגיע לרשותה של החברה בתאריך 1.2.2017, אך מתוקף הרצון לבצע בדיקות שמישות וכיו״ב,</t>
  </si>
  <si>
    <t xml:space="preserve">הפך לזמין לשימוש במחלקת המחשבים בחברה ב-1.3.2017. המנכ״ל החל להשתמש במחשב רק ב-1.4.2017. </t>
  </si>
  <si>
    <t xml:space="preserve">אורך החיים השימושיים של המחשב הוא 5 שנים. ערך השייר המוגדר לו הוא 1,200 ש״ח, ושיטת הפחתתו היא </t>
  </si>
  <si>
    <t>הקו הישר.</t>
  </si>
  <si>
    <t>בתאריך 1.8.2020 נמכר המחשב במפתיע בעקבות רצונו של המנכ״ל להשתדרג בתמורה ל-1,900 ש״ח.</t>
  </si>
  <si>
    <t xml:space="preserve">נדרש: הציגו את כל היתרות המאזניות והתוצאתיות בגין הפריט כפי שתדווחנה בדוחות הכספיים </t>
  </si>
  <si>
    <t xml:space="preserve">לשנים: 2017, 2018, 2019, 2020. </t>
  </si>
  <si>
    <t>ערך ספרים / עלות מופחתת</t>
  </si>
  <si>
    <t>דיווח</t>
  </si>
  <si>
    <t>עזר - למכירה</t>
  </si>
  <si>
    <t>שלב 1</t>
  </si>
  <si>
    <t>שלב 2</t>
  </si>
  <si>
    <t>שלב 3</t>
  </si>
  <si>
    <t>שלב 4</t>
  </si>
  <si>
    <t>שלב 5</t>
  </si>
  <si>
    <t>הגדרת העלות:</t>
  </si>
  <si>
    <t>עלות פריט רכוש קבוע תכלול את עלות רכישתו בתוספת כל העלויות הנוספות, החד פעמיות באופיין, שנדרשות כדי</t>
  </si>
  <si>
    <t xml:space="preserve">עלויות שימוש שוטף שיחולו באופן מחזורי שוב ושוב (כגון דלק, אחזקה, חשמל וכיו״ב). </t>
  </si>
  <si>
    <r>
      <t xml:space="preserve">להביא את הפריט למיקום ולמצב שמיש. בין היתר, </t>
    </r>
    <r>
      <rPr>
        <b/>
        <sz val="12"/>
        <color theme="1"/>
        <rFont val="David"/>
        <family val="2"/>
        <charset val="177"/>
      </rPr>
      <t>נכלול</t>
    </r>
    <r>
      <rPr>
        <sz val="12"/>
        <color theme="1"/>
        <rFont val="David"/>
        <family val="2"/>
        <charset val="177"/>
      </rPr>
      <t xml:space="preserve"> - עלויות הובלה, התקנה, בדיקה מקדמית וכיו״ב, </t>
    </r>
    <r>
      <rPr>
        <b/>
        <sz val="12"/>
        <color theme="1"/>
        <rFont val="David"/>
        <family val="2"/>
        <charset val="177"/>
      </rPr>
      <t>וללא</t>
    </r>
  </si>
  <si>
    <t>כאן: מדובר בעלות רכישה ראשונית בסך 4,000 ש״ח בתוספת הובלה 200 ש״ח.</t>
  </si>
  <si>
    <t>לאחר מכירה</t>
  </si>
  <si>
    <t>הנכס נעלם</t>
  </si>
  <si>
    <t>חישוב הוצאות פחת:</t>
  </si>
  <si>
    <t>נתחיל מלחשב את הוצאות הפחת לשנה שלמה, שבשיטת הקו הישר מחושבות לפי העלות, בניכוי השייר, וכל זה חלקי</t>
  </si>
  <si>
    <t>תקופת הפחתה:</t>
  </si>
  <si>
    <t xml:space="preserve">(4,200 - 1,200) / 5 = </t>
  </si>
  <si>
    <t>יחד עם זאת, בכל שנה ושנה, עלינו לבחון - האם הפחת היה לשנה שלמה או לחלק ממנה?</t>
  </si>
  <si>
    <t>נתחיל מ-2017:</t>
  </si>
  <si>
    <t>המחשב נרכש:</t>
  </si>
  <si>
    <t>1.1.2017</t>
  </si>
  <si>
    <t>הגיע לחברה:</t>
  </si>
  <si>
    <t>1.2.2017</t>
  </si>
  <si>
    <t>זמין לשימוש:</t>
  </si>
  <si>
    <t>1.3.2017</t>
  </si>
  <si>
    <t>החל שימוש בפועל:</t>
  </si>
  <si>
    <t>1.4.2017</t>
  </si>
  <si>
    <t>כאשר המטרה היא לגלות את המועד שממנו ואילך נרשמות הוצאות הפחת,</t>
  </si>
  <si>
    <r>
      <t xml:space="preserve">העיקרון המנחה יהיה: החל </t>
    </r>
    <r>
      <rPr>
        <b/>
        <u/>
        <sz val="12"/>
        <color theme="1"/>
        <rFont val="David"/>
        <family val="2"/>
        <charset val="177"/>
      </rPr>
      <t>ממועד הזמינות לשימוש של הנכס</t>
    </r>
    <r>
      <rPr>
        <sz val="12"/>
        <color theme="1"/>
        <rFont val="David"/>
        <family val="2"/>
        <charset val="177"/>
      </rPr>
      <t>.</t>
    </r>
  </si>
  <si>
    <t>הוצאות הפחת בשנת 2017:</t>
  </si>
  <si>
    <t xml:space="preserve">(600 / 12) * 10 = </t>
  </si>
  <si>
    <t>הוצאות הפחת בשנת 2018 - שנה שלמה:</t>
  </si>
  <si>
    <t>הוצאות הפחת בשנת 2019 - שנה שלמה:</t>
  </si>
  <si>
    <t>הוצאות הפחת בשנת 2020 - עד המכירה 1.8.2020:</t>
  </si>
  <si>
    <t xml:space="preserve">(600 / 12) * 7 = </t>
  </si>
  <si>
    <t>רווח / הפסד הון במכירה:</t>
  </si>
  <si>
    <t>רווח / הפסד ההון במכירת רכוש קבוע מוגדר בתור ההפרש בין תמורת המכירה לבין ערך הספרים של הפריט ערב</t>
  </si>
  <si>
    <t>מכירתו. ראינו שבערב המכירה - 1.8.2020:</t>
  </si>
  <si>
    <t>ערך הספרים</t>
  </si>
  <si>
    <t>תמורה - נתונה בשאלה</t>
  </si>
  <si>
    <t>הפרש שלילי - הפסד הון</t>
  </si>
  <si>
    <t xml:space="preserve">1,900 - 2,150 = </t>
  </si>
  <si>
    <t xml:space="preserve">בתאריך 1.1.2017 רכשה חברת ״אבנר״ בע״מ (להלן: ״החברה״) מחשב מקבוק Windows בעלות של 1,000 ש״ח. </t>
  </si>
  <si>
    <t>לעלות זו נדרשה החברה להוסיף עלויות הובלה בסך 50 ש״ח.</t>
  </si>
  <si>
    <t>כמו כן, ידוע כי:</t>
  </si>
  <si>
    <t xml:space="preserve">עלויות בדיקה והתקנות </t>
  </si>
  <si>
    <t>ש״ח</t>
  </si>
  <si>
    <t>הסרת רוגלות spyware</t>
  </si>
  <si>
    <t>צריכת חשמל שנתית</t>
  </si>
  <si>
    <t>אחזקה שנתית</t>
  </si>
  <si>
    <t>מנוי שנתי לאנטי וירוס</t>
  </si>
  <si>
    <t xml:space="preserve">ידוע כי המחשב הגיע לרשותה של החברה בתאריך 1.3.2017, חלק מההשמשה הסתיימה ב-1.3.2017, </t>
  </si>
  <si>
    <t>אך את הסרת הרוגלות הנדרשת לטובת העבודה השלימו רק ב-1.5.2017. מנכ״ל החברה מסרב להשתמש במחשב</t>
  </si>
  <si>
    <t xml:space="preserve">בטענה שהוא מעפן, ולכן ב-1.9.2017 החל השימוש במחשב על ידי עובד זוטר בחברה. </t>
  </si>
  <si>
    <t>המחשב מופחת בשיטת הקו הישר על פני 3 שנים ללא ערך שייר / גרט.</t>
  </si>
  <si>
    <t xml:space="preserve">בתאריך 1.1.2020 הושלך המחשב לפח האשפה. </t>
  </si>
  <si>
    <t>הסבר לגבי הוצאות הפחת ב-2017:</t>
  </si>
  <si>
    <t>עלות כוללת</t>
  </si>
  <si>
    <t>גרט / שייר</t>
  </si>
  <si>
    <t>פחת לשנה</t>
  </si>
  <si>
    <t xml:space="preserve">(1,500 - 0) / 3 = </t>
  </si>
  <si>
    <t>מועד זמינות</t>
  </si>
  <si>
    <t>1.5.2017</t>
  </si>
  <si>
    <t xml:space="preserve">יש לסיים את כל ההשמשה, לא רק חלק ממנה, כולל </t>
  </si>
  <si>
    <t>הסרת הרוגלות אשר כנתון נדרשת לשם העבודה.</t>
  </si>
  <si>
    <t>תקופת הפחתה בחודשים-2017</t>
  </si>
  <si>
    <t>לפרק הזמן 1.5.2017-31.12.2017</t>
  </si>
  <si>
    <t>סך הוצאות הפחת - 2017:</t>
  </si>
  <si>
    <t xml:space="preserve">(500 / 12) * 8 = </t>
  </si>
  <si>
    <t>תרגום</t>
  </si>
  <si>
    <t>פחת</t>
  </si>
  <si>
    <t>לחודש</t>
  </si>
  <si>
    <t>אחד</t>
  </si>
  <si>
    <t>פרק הזמן להפחתה</t>
  </si>
  <si>
    <t>בשנת 2017 הוא 8 חודשים</t>
  </si>
  <si>
    <t>הסבר לגבי הוצאות הפחת ב-2020:</t>
  </si>
  <si>
    <t xml:space="preserve">בשנת 2020, הפריט נמכר מיד בתחילת השנה. המשמעות היא שאין לרשום הוצאות פחת בגין שנה זו. </t>
  </si>
  <si>
    <t>הפסד ההון</t>
  </si>
  <si>
    <t>הסבר לגבי הפסד ההון ב-2020:</t>
  </si>
  <si>
    <t xml:space="preserve">בשאלה נאמר שב-1.1.2020 הפריט הושלך לפח האשפה. המשמעות: ״מכירה בתמורה אפס״. </t>
  </si>
  <si>
    <t xml:space="preserve">ולכן, חישוב ההפרש בין ה״תמורה״ (0) לבין ערך הספרים ערב המכירה (עמודת העזר) צפוי להיות </t>
  </si>
  <si>
    <t>שלילי ולייצג הפסד הון:</t>
  </si>
  <si>
    <t>תמורת מכירה</t>
  </si>
  <si>
    <t>ערך ספרים ערב המכירה</t>
  </si>
  <si>
    <t>ההפרש - שלילי: הפסד הון</t>
  </si>
  <si>
    <t>שאלה 3 - רכוש קבוע - הפחתה בשיטת סכום ספרות</t>
  </si>
  <si>
    <t>רקע:</t>
  </si>
  <si>
    <t>שיטת ההפחתה הנקראת ״סכום ספרות״ היא שיטה המניחה שקצב שחיקת הפחת על פני זמן איננו אחיד, אלא</t>
  </si>
  <si>
    <t>משתנה משנה לשנה.</t>
  </si>
  <si>
    <t>ההנחה הנפוצה ביותר היא שהפחת הוא גבוה בשנים הראשונות, והוא הולך וקטן בערכו השנתי בשנים העוקבות.</t>
  </si>
  <si>
    <t xml:space="preserve">מכאן הכינוי - פחת בשיטת ״סכום ספרות השנים היורד״ (סס״י). </t>
  </si>
  <si>
    <t>אפשר כמובן ליישם שיטת סכום ספרות שנים עולה, היא תהיה דומה מאד, אך בכיוון מתמטי הפוך. מבחינתנו,</t>
  </si>
  <si>
    <t>הדיון הכמותי יהיה בסכום ספרות יורד.</t>
  </si>
  <si>
    <t>אופן יישום השיטה - שלבים בחישוב הוצאות הפחת:</t>
  </si>
  <si>
    <t>שלב 1:</t>
  </si>
  <si>
    <t>חשבו את סכום הספרות לפי נוסחה מתמטית</t>
  </si>
  <si>
    <t>שלב 2:</t>
  </si>
  <si>
    <t>הקצו ספרה לכל שנה ושנה בסדר יורד, הספרה הראשונה זהה לתקופת ההפחתה n אך היא יורדת</t>
  </si>
  <si>
    <t>ביחידה אחת בכל שנה עוקבת.</t>
  </si>
  <si>
    <t>שלב 3:</t>
  </si>
  <si>
    <t>הוצאות הפחת לכל שנה ושנה מחושבות לפי היחס בין הספרה לבין סכום הספרות:</t>
  </si>
  <si>
    <t>השאלה:</t>
  </si>
  <si>
    <t>חברת ״ג׳וני שועלים״ בע״מ (להלן: ״החברה״) רכשה מכונה לחימום נקניקיות לעובדי המשרד בעלות של 5,000 ש״ח.</t>
  </si>
  <si>
    <t>אורך החיים השימושיים של המכונה לחימום נקניקיות הוא 8 שנים, וערך השייר / הגרט שלה הוא 1,000 ש״ח.</t>
  </si>
  <si>
    <t xml:space="preserve">המכונה מופחתת בשיטת סכום ספרות השנים היורד (סס״י), מועד רכישתה - 1.1.2017. </t>
  </si>
  <si>
    <t>בתאריך 30.9.2020 נמכרה המכונה במפתיע. תמורת המכירה הסתכמה ב-2,400 ש״ח.</t>
  </si>
  <si>
    <t>נדרש: הציגו את כל היתרות המאזניות והתוצאתיות בגין הפריט עבור כל אחת מהשנים שבהן הוחזר הנכס בחברה.</t>
  </si>
  <si>
    <t>הואיל ושיטת הפחת היא סכום ספרות השנים (היורד במקרה זה), יש לפעול במספר שלבים כדי להגיע להוצאות הפחת:</t>
  </si>
  <si>
    <t>במלים: כופלים את תקופת ההפחתה של הנכס (n), בערך הגדול ממנה ב-1, ומחלקים את המכפלה ב-2.</t>
  </si>
  <si>
    <t>תקופת ההפחתה פה היא 8 שנים, לכן נציב n=8 בנוסחה לעיל, ונקבל:</t>
  </si>
  <si>
    <t>הקצאת ספרה לכל שנה</t>
  </si>
  <si>
    <t xml:space="preserve">כאשר שיטת ההפחתה היא סכום הספרות, יש לבחון האם מדובר בספרות עולות או יורדות. </t>
  </si>
  <si>
    <t>במקרה זה, מדובר בסכום ספרות יורד. לכן, הקצאת הספרות תתחיל מהספרה הגבוהה ביותר n</t>
  </si>
  <si>
    <t>המייצגת את אורך חיי הנכס (8 שנים) ובכל שנת חיים עוקבת של הנכס, תקטן הספרה ביחידה אחת.</t>
  </si>
  <si>
    <t>31.12.2017</t>
  </si>
  <si>
    <t>31.12.2018</t>
  </si>
  <si>
    <t>31.12.2019</t>
  </si>
  <si>
    <t>30.9.2020</t>
  </si>
  <si>
    <t>n-1</t>
  </si>
  <si>
    <t>n-2</t>
  </si>
  <si>
    <t>n-3</t>
  </si>
  <si>
    <t>בעלות בניכוי השייר</t>
  </si>
  <si>
    <r>
      <rPr>
        <u/>
        <sz val="12"/>
        <color theme="1"/>
        <rFont val="David"/>
        <family val="2"/>
        <charset val="177"/>
      </rPr>
      <t>הוצאות הפחת</t>
    </r>
    <r>
      <rPr>
        <sz val="12"/>
        <color theme="1"/>
        <rFont val="David"/>
        <family val="2"/>
        <charset val="177"/>
      </rPr>
      <t xml:space="preserve"> בכל שנה תחושבנה לפי היחס בין הספרה לשנה לבין סכום הספרות - וכל זה - מוכפל</t>
    </r>
  </si>
  <si>
    <t>הספרה 8</t>
  </si>
  <si>
    <t>שרלוונטית ל-2017</t>
  </si>
  <si>
    <t xml:space="preserve">סכום </t>
  </si>
  <si>
    <t>הספרות</t>
  </si>
  <si>
    <t>שחושב</t>
  </si>
  <si>
    <t>לפי הנוסחה</t>
  </si>
  <si>
    <t>בשלב 1</t>
  </si>
  <si>
    <t>הספרה 7</t>
  </si>
  <si>
    <t>שרלוונטית ל-2018</t>
  </si>
  <si>
    <t>מס׳ החודשים ב-2020 עד המכירה: 9</t>
  </si>
  <si>
    <t>הספרה הכללית הרלוונטית ל-2020</t>
  </si>
  <si>
    <t>הואיל והפריט נמכר ב-30.9.2020</t>
  </si>
  <si>
    <t>הפחת הוא רק על חלק יחסי</t>
  </si>
  <si>
    <t>של 9 חודשים: 9/12</t>
  </si>
  <si>
    <t>טיפ כללי - לאו דווקא נדרש לשאלה:</t>
  </si>
  <si>
    <t>אם דורשים את הפחת הנצבר למועד מסויים במהירות האפשרית, ניתן להגיע אליו גם ללא חישוב הוצאות פחת לכל שנה</t>
  </si>
  <si>
    <t>בנפרד. איך נעשה זאת?</t>
  </si>
  <si>
    <t>מהירה ליום 30.9.2020:</t>
  </si>
  <si>
    <r>
      <t xml:space="preserve">במלים: מחברים </t>
    </r>
    <r>
      <rPr>
        <b/>
        <sz val="12"/>
        <color rgb="FFFF0000"/>
        <rFont val="David"/>
        <family val="2"/>
        <charset val="177"/>
      </rPr>
      <t>במונה</t>
    </r>
    <r>
      <rPr>
        <sz val="12"/>
        <color theme="1"/>
        <rFont val="David"/>
        <family val="2"/>
        <charset val="177"/>
      </rPr>
      <t xml:space="preserve"> של היחס </t>
    </r>
    <r>
      <rPr>
        <b/>
        <sz val="12"/>
        <color rgb="FFFF0000"/>
        <rFont val="David"/>
        <family val="2"/>
        <charset val="177"/>
      </rPr>
      <t>את כל הספרות עד למועד הנדרש</t>
    </r>
    <r>
      <rPr>
        <sz val="12"/>
        <color theme="1"/>
        <rFont val="David"/>
        <family val="2"/>
        <charset val="177"/>
      </rPr>
      <t>. אם למשל אנו רוצים לדעת מה הפחת הנצבר בצורה</t>
    </r>
  </si>
  <si>
    <t>חישוב רווח ההון:</t>
  </si>
  <si>
    <t>רווח ההון כזכור הוא הפרש חיובי בין תמורת המכירה לבין ערך הספרים / העלות המופחתת ערב המכירה.</t>
  </si>
  <si>
    <t>כאן:</t>
  </si>
  <si>
    <t>ערך הספרים 30.9.2020</t>
  </si>
  <si>
    <t>ההפרש החיובי - רווח הון</t>
  </si>
  <si>
    <t xml:space="preserve">2,400 - 2,249 = </t>
  </si>
  <si>
    <r>
      <t xml:space="preserve">תמורת המכירה </t>
    </r>
    <r>
      <rPr>
        <b/>
        <sz val="12"/>
        <color theme="1"/>
        <rFont val="David"/>
        <family val="2"/>
        <charset val="177"/>
      </rPr>
      <t>הנתונה</t>
    </r>
  </si>
  <si>
    <t>שאלה 4 - הוצאות פחת בסכום ספרות יורד</t>
  </si>
  <si>
    <t>חברת ״סאלח״ בע״מ (להלן: ״החברה״) רכשה מכונה גדולה יותר לחימום נקניקיות לעובדי המשרד בעלות 60,000 ש״ח.</t>
  </si>
  <si>
    <t xml:space="preserve">אורך החיים השימושיים של המכונה לחימום נקניקיות הוא 10 שנים, ואין לה ערך שייר / גרט. </t>
  </si>
  <si>
    <t>בתאריך 1.4.2020 נמכרה המכונה במפתיע תמורת 33,000 ש״ח.</t>
  </si>
  <si>
    <t>נדרש: א. הציגו את כל היתרות המאזניות והתוצאתיות בגין הפריט עבור כל אחת מהשנים שבהן הוחזק הנכס בחברה.</t>
  </si>
  <si>
    <r>
      <t xml:space="preserve">ב. חשבו </t>
    </r>
    <r>
      <rPr>
        <b/>
        <sz val="12"/>
        <color theme="1"/>
        <rFont val="David"/>
        <family val="2"/>
        <charset val="177"/>
      </rPr>
      <t>מחדש</t>
    </r>
    <r>
      <rPr>
        <sz val="12"/>
        <color theme="1"/>
        <rFont val="David"/>
        <family val="2"/>
        <charset val="177"/>
      </rPr>
      <t xml:space="preserve"> את רווח / הפסד ההון בלבד בהנחה שהשיטה היא סכום </t>
    </r>
    <r>
      <rPr>
        <b/>
        <sz val="12"/>
        <color theme="1"/>
        <rFont val="David"/>
        <family val="2"/>
        <charset val="177"/>
      </rPr>
      <t>ספרות עולה</t>
    </r>
    <r>
      <rPr>
        <sz val="12"/>
        <color theme="1"/>
        <rFont val="David"/>
        <family val="2"/>
        <charset val="177"/>
      </rPr>
      <t>.</t>
    </r>
  </si>
  <si>
    <t>סכום ספרות:</t>
  </si>
  <si>
    <t xml:space="preserve">10 * (10 + 1) / 2 = </t>
  </si>
  <si>
    <t>33,000-28,636=</t>
  </si>
  <si>
    <t>פתרון סעיף א</t>
  </si>
  <si>
    <t>פתרון סעיף ב</t>
  </si>
  <si>
    <t>רגע שי, מה עשית כאן? בגלל שמדובר בסכום ספרות עולה ולא יורד, הספרות לא פועלות מהגדולה (10) בסדר יורד כלפי מטה,</t>
  </si>
  <si>
    <t xml:space="preserve">אלא דווקא מהספרה הקטנה ביותר (שהיא תמיד 1) למעלה. </t>
  </si>
  <si>
    <r>
      <t xml:space="preserve">כדי לחשב את הפחת הנצבר וערך הספרים ערב המכירה בשיטת סכום ספרות </t>
    </r>
    <r>
      <rPr>
        <b/>
        <u/>
        <sz val="12"/>
        <color theme="1"/>
        <rFont val="David"/>
        <family val="2"/>
        <charset val="177"/>
      </rPr>
      <t>עולה</t>
    </r>
    <r>
      <rPr>
        <sz val="12"/>
        <color theme="1"/>
        <rFont val="David"/>
        <family val="2"/>
        <charset val="177"/>
      </rPr>
      <t>, בצורה המהירה ביותר:</t>
    </r>
  </si>
  <si>
    <t>תמורה</t>
  </si>
  <si>
    <t>בניכוי ספרים</t>
  </si>
  <si>
    <t>תשובה סופית</t>
  </si>
  <si>
    <t>קטנות במגוון נושאים כדוגמת אלו שהצגנו במהלך השיעורים.</t>
  </si>
  <si>
    <t>השאלה הגדולה בנויה כך:</t>
  </si>
  <si>
    <t>א. מתקבלת רשימת ערכים של חשבונות (סוגים שונים של ערכים כספיים - נכסים, התחייבויות, הון, הכנסות</t>
  </si>
  <si>
    <t xml:space="preserve">ג. על בסיס הערכים המעודכנים (לאחר כלל התיקונים והעדכונים המתבקשים) יש לערוך דוחות כספיים מלאים - </t>
  </si>
  <si>
    <t>את הדוח על המצב הכספי (מאזן) ואת דוח רווח והפסד.</t>
  </si>
  <si>
    <t>להלן נתונים בדבר היתרות הכספיות בספרי חברת ״יובלים ושכטרים״ העוסקת בייצור גבינות לארוחת שישי</t>
  </si>
  <si>
    <t xml:space="preserve">ולקידוש בבתים מסויימים. כל היתרות מעודכנות ליום 31.12.2020 אלא אם נאמר מפורשות אחרת. </t>
  </si>
  <si>
    <t>הערכים באלפי ש״ח.</t>
  </si>
  <si>
    <t>השקעות 
לזמן קצר</t>
  </si>
  <si>
    <t>הלוואות
לזמן קצר</t>
  </si>
  <si>
    <t>הלוואות
לזמן ארוך</t>
  </si>
  <si>
    <t>עודפים 1.1</t>
  </si>
  <si>
    <t>החזרות 
לספקים</t>
  </si>
  <si>
    <t>נדל״ן
להשקעה</t>
  </si>
  <si>
    <t>השקעות
לזמן ארוך</t>
  </si>
  <si>
    <t>הוצאות 
ריבית</t>
  </si>
  <si>
    <t>הכנסות
ריבית</t>
  </si>
  <si>
    <t>הוצאות
פרסום</t>
  </si>
  <si>
    <t>הוצאות
שכר</t>
  </si>
  <si>
    <t>הוצאות
טלפון</t>
  </si>
  <si>
    <t>הוצאות
חשמל</t>
  </si>
  <si>
    <t>עמלות
סוכנים</t>
  </si>
  <si>
    <t>שכר טרחה
רואה חשבון</t>
  </si>
  <si>
    <t>החזרות
מלקוח</t>
  </si>
  <si>
    <t>אזהרת מסע</t>
  </si>
  <si>
    <t>ברור כי ההתייחסות לדוחות מלאים כולל שילוב מגוון רחב של תכנים והתאמות שנלמדו במהלך כל הסמסטר</t>
  </si>
  <si>
    <t>ואיגודה לכדי דוח כספי היא מורכבת. מהסיבה הזו, כל המפגשים שנותרו נועדו למטרה זו, ואנו נחדד, נלבן,</t>
  </si>
  <si>
    <t xml:space="preserve">נציג בשלבים ונתרגל. </t>
  </si>
  <si>
    <t>לצד זאת, מחובתכם לחזור על התכנים באופן מלא ככל האפשר סמוך לאחר השיעור. שאלות לגבי תכני המפגש</t>
  </si>
  <si>
    <t>ניתן להפנות למרצה בכל עת; שאלות לגבי התרגולים העתידיים שישענו על כך ניתן להפנות למתרגלים כשהמרצים</t>
  </si>
  <si>
    <t>כאן לגיבוי.</t>
  </si>
  <si>
    <t>נתונים נוספים:</t>
  </si>
  <si>
    <t>המכונות שבבעלות החברה נרכשו ב-1.12.2018. עלות הרכישה הישירה שלהן היתה 900 אלפי ש״ח,</t>
  </si>
  <si>
    <t>אך לשם הובלתן והרכבתן בחברה היא נדרשה לשלם 100 אלפי ש״ח נוספים. המכונות הגיעו לחברה</t>
  </si>
  <si>
    <t xml:space="preserve">והפכו לזמינות לשימוש ב-31.3.2019. אורך החיים השימושיים של המכונות הנו 10 שנים, והן </t>
  </si>
  <si>
    <t>מופחתות בשיטת הקו הישר ללא ערך שייר / גרט.</t>
  </si>
  <si>
    <t xml:space="preserve">מלאי הסגירה בחברה, בהתאם לנתוני ספירות המלאי שנעשו, כולל 5,000 פריטים בעלות של 4 ש״ח </t>
  </si>
  <si>
    <t xml:space="preserve">לפריט. בנוסף ידוע כי מחיר המכירה העתידי הצפוי למלאי זה הוא 30 אלפי ש״ח, ועלויות הצפויות </t>
  </si>
  <si>
    <t>להיווצר לשם מכירתו הן 4 אלפי ש״ח.</t>
  </si>
  <si>
    <t>במהלך שנת 2020, ביצעה החברה מכירה ללקוחות באשראי. היקף המכירה בסך 22 אלפי ש״ח.</t>
  </si>
  <si>
    <t>בעקבות טעות במערכת הנהלת החשבונות, מכירה זו טרם קיבלה ביטוי בספרי החברה.</t>
  </si>
  <si>
    <t>הוצאות השכר בחברה מסווגות לסעיף הוצאות הנהלה וכלליות. החברה טרם ישלמה ולכן טרם</t>
  </si>
  <si>
    <t>רשמה את הוצאות השכר בגין נובמבר ודצמבר 2020. יש להניח שהוצאות השכר מתפלגות</t>
  </si>
  <si>
    <t>אחיד על פני השנה.</t>
  </si>
  <si>
    <t>נדרש: ערכו את הדוח על המצב הכספי (המאזן) ליום 31.12.2020, ואת דוח רווח והפסד לשנה שנסתיימה באותו</t>
  </si>
  <si>
    <r>
      <t xml:space="preserve">הנחות </t>
    </r>
    <r>
      <rPr>
        <b/>
        <sz val="12"/>
        <color rgb="FFFF0000"/>
        <rFont val="David"/>
        <family val="2"/>
        <charset val="177"/>
      </rPr>
      <t>מזומן</t>
    </r>
    <r>
      <rPr>
        <sz val="12"/>
        <color theme="1"/>
        <rFont val="David"/>
        <family val="2"/>
        <charset val="177"/>
      </rPr>
      <t xml:space="preserve">
מספקים</t>
    </r>
  </si>
  <si>
    <t>שיחזור 1 - מכונות - עלות</t>
  </si>
  <si>
    <t>חשבון ״מכונות - עלות״ הוא חשבון המסווג לנכסים, וערכו כולל את כל העלויות הנדרשות להבאת המכונות</t>
  </si>
  <si>
    <t xml:space="preserve">למיקום ולמצב שמיש. </t>
  </si>
  <si>
    <t>כלומר:</t>
  </si>
  <si>
    <t>עלות רכישה ישירה</t>
  </si>
  <si>
    <t>כל עלות חד פעמית נוספת:</t>
  </si>
  <si>
    <t>מכסים ומסי קנייה</t>
  </si>
  <si>
    <t>כל עלות נוספת נדרשת חד פעמית</t>
  </si>
  <si>
    <t>סה״כ עלות הפריט</t>
  </si>
  <si>
    <r>
      <rPr>
        <sz val="12"/>
        <color theme="0"/>
        <rFont val="David"/>
        <family val="2"/>
        <charset val="177"/>
      </rPr>
      <t>,</t>
    </r>
    <r>
      <rPr>
        <sz val="12"/>
        <color theme="1"/>
        <rFont val="David"/>
        <family val="2"/>
        <charset val="177"/>
      </rPr>
      <t>=</t>
    </r>
  </si>
  <si>
    <t>אלפי ש״ח</t>
  </si>
  <si>
    <t>הצבה</t>
  </si>
  <si>
    <t>נתון א</t>
  </si>
  <si>
    <t>התקנה / הרכבה</t>
  </si>
  <si>
    <t>שיחזור 2 - פחת נצבר ל-1.1.2020</t>
  </si>
  <si>
    <t>הוצאות הפחת מתחילות להירשם החל מהמועד שבו פריט הרכוש הקבוע זמין לשימוש.</t>
  </si>
  <si>
    <t>עלות הפריט</t>
  </si>
  <si>
    <t>תקופת הפחתה</t>
  </si>
  <si>
    <t>שנים</t>
  </si>
  <si>
    <t>שיטת פחת</t>
  </si>
  <si>
    <t>קו ישר</t>
  </si>
  <si>
    <t>גרט</t>
  </si>
  <si>
    <t>תחילת פחת</t>
  </si>
  <si>
    <t>31.3.2019</t>
  </si>
  <si>
    <t>1.1.2020</t>
  </si>
  <si>
    <t>נדרש: פחנ״צ</t>
  </si>
  <si>
    <t xml:space="preserve">מהי דרך הפתרון שהוצגה? התבססנו על העלות: 1,000, בניכוי הגרט/שייר 0, </t>
  </si>
  <si>
    <t>את כל זה חילקנו בתקופת ההפחתה בשנים 10, וכך קיבלנו פחת לשנה אחת.</t>
  </si>
  <si>
    <t>אבל - הפחת הנצבר ל-1.1.2020 הוא רק עבור 9 חודשים: 31.3.2019-1.1.2020</t>
  </si>
  <si>
    <t>לכן כפלנו ב-9/12 וכך ביטאנו פחת נצבר יחסי למועד הנדרש.</t>
  </si>
  <si>
    <t>״תחילת השנה״</t>
  </si>
  <si>
    <t>הפחת הנצבר: חלק מקטגוריית הנכסים,</t>
  </si>
  <si>
    <t>בסימן שלילי</t>
  </si>
  <si>
    <t>שיחזור 3 - מלאי סגירה ליום 31.12.2020</t>
  </si>
  <si>
    <t>הנתון:</t>
  </si>
  <si>
    <t>מלאי הסגירה נמדד תמיד לפי הנמוך מבין שני ערכים:</t>
  </si>
  <si>
    <t xml:space="preserve">5,000 * 4 = </t>
  </si>
  <si>
    <t>א. עלות (שימו לב זה בש״ח לא באלפים):</t>
  </si>
  <si>
    <t>ב. שווי מימוש נטו:</t>
  </si>
  <si>
    <t>מוגדר בתור - מחיר מכירה (עתידי)</t>
  </si>
  <si>
    <t>וכך מגיעים לשווי מימוש נטו</t>
  </si>
  <si>
    <t>עלות - אלפי ש״ח:</t>
  </si>
  <si>
    <t>שווי מימוש נטו - אלפי ש״ח:</t>
  </si>
  <si>
    <t xml:space="preserve">מלאי סגירה לדיווח = </t>
  </si>
  <si>
    <t xml:space="preserve">min(עלות, שווי מימוש נטו) = </t>
  </si>
  <si>
    <t>30 + ?</t>
  </si>
  <si>
    <t>הערך החסר, מייצג עודפים ל-1.1</t>
  </si>
  <si>
    <r>
      <t xml:space="preserve">וכיצד נגלה ערך חסר זה? ראו להלן, </t>
    </r>
    <r>
      <rPr>
        <b/>
        <sz val="12"/>
        <color rgb="FF00B050"/>
        <rFont val="David"/>
        <family val="2"/>
        <charset val="177"/>
      </rPr>
      <t>שיחזור 4</t>
    </r>
  </si>
  <si>
    <t>שיחזור 4 - חילוץ יתרת פתיחה עודפים קרי עודפים 1.1.2020</t>
  </si>
  <si>
    <t>לאחר שיחזורים 1, 2, 3 - כאשר סכמנו את הערכים, זה מה שקיבלנו:</t>
  </si>
  <si>
    <t>ידוע לכולנו שמתקיים תמיד:</t>
  </si>
  <si>
    <t xml:space="preserve">נכסים </t>
  </si>
  <si>
    <t>התחייבויות והון עצמי</t>
  </si>
  <si>
    <t>הואיל והרווח הוא חלק מההון העצמי, ניתן לסמן זאת כך:</t>
  </si>
  <si>
    <t>370 + (30 +  x) + (407 - 355)</t>
  </si>
  <si>
    <t>הון 1.1</t>
  </si>
  <si>
    <t xml:space="preserve">בתוספת </t>
  </si>
  <si>
    <t>רווח השנה:</t>
  </si>
  <si>
    <t>פחות</t>
  </si>
  <si>
    <t>משוואת הפתרון:</t>
  </si>
  <si>
    <t>3095 = 370 + 30 + x + 407 - 355</t>
  </si>
  <si>
    <t xml:space="preserve">x = </t>
  </si>
  <si>
    <t>סך הכל יתרת עודפים ל-1.1.2020</t>
  </si>
  <si>
    <t>שלב 1 - שיחזור ערכים חסרים ביתרות הפתיחה</t>
  </si>
  <si>
    <t>שלב 2 - עדכונים נדרשים לתום שנת הדיווח</t>
  </si>
  <si>
    <t xml:space="preserve">אפשר לשים לב לכך שחלק מהנתונים ברשימת היתרות אינם מעודכנים לתום השנה. </t>
  </si>
  <si>
    <t>כך, למשל, הפחת הנצבר בנתונים הוא ל-1.1, ויש לעדכנו לערך הנכון לתום שנת הדיווח - 31.12.</t>
  </si>
  <si>
    <t>כמו כן, בנתונים הנוספים לשאלה בהחלט ייתכנו אירועים נוספים - שלא קיבלו ביטוי בנתוני הבסיס,</t>
  </si>
  <si>
    <t xml:space="preserve">או שקיבלו ביטוי בצורה לא מושלמת, מה שמצריך התחשבות ועדכון. </t>
  </si>
  <si>
    <r>
      <t xml:space="preserve">עדכונים נוספים אלו יבוצעו בצורה של </t>
    </r>
    <r>
      <rPr>
        <u/>
        <sz val="12"/>
        <color theme="1"/>
        <rFont val="David"/>
        <family val="2"/>
        <charset val="177"/>
      </rPr>
      <t>פקודות יומן נוספות</t>
    </r>
    <r>
      <rPr>
        <sz val="12"/>
        <color theme="1"/>
        <rFont val="David"/>
        <family val="2"/>
        <charset val="177"/>
      </rPr>
      <t xml:space="preserve">. </t>
    </r>
  </si>
  <si>
    <t>כל פקודה תשפיע בצורה מסוימת על ערכי היתרות שאליהן היא קשורה, וכך נקבל יתרות עדכניות</t>
  </si>
  <si>
    <t>לתום שנת הדיווח - שיהוו את הבסיס לעריכת הדיווח הכספי.</t>
  </si>
  <si>
    <t xml:space="preserve">והוצאות) - הרשימה מגיעה בצורה ״גולמית״ (לא ממויינת לסוגי חשבונות) ואנו מבצעים את הסיווג תחילה - </t>
  </si>
  <si>
    <t>תיקונים (אם קיים סימן שאלה בערך מסויים - בהתבסס על הנתונים הנוספים, נחשבו / נחלצו).</t>
  </si>
  <si>
    <t>נוספים שיימסרו. בעצם: היתרות ה״מקוריות״ בשאלה אינן משקפות עסקאות נוספות או אירועים מורכבים</t>
  </si>
  <si>
    <t>שיש לתת להם ביטוי טרם עריכת הדוחות הכספיים המלאים.</t>
  </si>
  <si>
    <t xml:space="preserve">    שלבים אלו</t>
  </si>
  <si>
    <t xml:space="preserve">    יידונו בפירוט</t>
  </si>
  <si>
    <t xml:space="preserve">    בהרצאה זו</t>
  </si>
  <si>
    <t>אז רגע שי, איך נדע מה לעדכן?</t>
  </si>
  <si>
    <t xml:space="preserve">א. יתרות או ערכים שלצדם נרשם ״1.1״ כלומר, לא עודכנו לתום השנה ולכן יש לעדכנם. </t>
  </si>
  <si>
    <t xml:space="preserve">ב. כאשר קיים נתון ספציפי מילולי בשאלה, הקובע שיש לעדכן. </t>
  </si>
  <si>
    <t>עדכונים - רק ע״י פקודות יומן מתקנות</t>
  </si>
  <si>
    <t>עדכון ראשון - הוצאות פחת לשנה הנוכחית, ועדכון הפחת הנצבר ל-31.12</t>
  </si>
  <si>
    <t>עדכון:</t>
  </si>
  <si>
    <t>הואיל והפחת הנצבר חולץ ל-1.1.2020, סימן שהוצאות הפחת לשנת 2020 (שנת הדיווח) טרם נרשמו.</t>
  </si>
  <si>
    <t>את הוצאות הפחת והגידול בפחת הנצבר בעקבותיהן, נחשב על בסיס הנתונים בדבר הפריט:</t>
  </si>
  <si>
    <t>תזכורת:</t>
  </si>
  <si>
    <t>ערך שייר / גרט</t>
  </si>
  <si>
    <t>תקופת ההפחתה בשנים</t>
  </si>
  <si>
    <t>הון
הכנסות +
הוצאות -</t>
  </si>
  <si>
    <t>חובה הוצאות פחת 100</t>
  </si>
  <si>
    <t>זכות פחת נצבר 100</t>
  </si>
  <si>
    <t>מבנה פקודה לרישום / עדכון הוצ׳ פחת:</t>
  </si>
  <si>
    <t>את הפחת הנצבר באותו הסכום. הפחת הוא בגין כל השנה, ולכן אין צורך לבצע התאמה לחודשים.</t>
  </si>
  <si>
    <t>מכונות - 
עלות - 
שיחזור 
1</t>
  </si>
  <si>
    <t>הנחות מזומן
מספקים</t>
  </si>
  <si>
    <t>הנחות 
מסחריות
ללקוח</t>
  </si>
  <si>
    <t>מלאי 
31.12
מאזן
שיחזור 3</t>
  </si>
  <si>
    <t>מלאי
31.12
רוו״ה
שיחזור 3</t>
  </si>
  <si>
    <t>הוא נכס:</t>
  </si>
  <si>
    <t>מדובר בחלק מהמשאבים</t>
  </si>
  <si>
    <t>שברשות החברה</t>
  </si>
  <si>
    <t>ל-31.12</t>
  </si>
  <si>
    <t>מלאי הסגירה (ל-31.12 של שנת הדיווח)</t>
  </si>
  <si>
    <t>מלאי הסגירה מייצג גם קיטון בהוצאות</t>
  </si>
  <si>
    <t>ובפרט, בעלות המכר</t>
  </si>
  <si>
    <t>ומדוע?</t>
  </si>
  <si>
    <t>נניח בלי קשר לנתוני השאלה, שהחברה רכשה השנה</t>
  </si>
  <si>
    <t>מלאי בעלות של 200 אלפי ש״ח (הוצאה - קניות: 200)</t>
  </si>
  <si>
    <t>נניח בנוסף, שהתגלה כי נכון לתום השנה, בחברה נותר מלאי</t>
  </si>
  <si>
    <t>קרי מלאי סגירה בסכום של 60 אלפי ש״ח.</t>
  </si>
  <si>
    <t xml:space="preserve">כמה מלאי החברה צרכה / בכמה מלאי היא </t>
  </si>
  <si>
    <t>השתמשה אם אלו הנתונים?</t>
  </si>
  <si>
    <t xml:space="preserve">200 - 60 = </t>
  </si>
  <si>
    <t>ההוצאה - עלות המכר</t>
  </si>
  <si>
    <t xml:space="preserve">בשפה פשוטה: ככל שנשאר לנו יותר, סימן שצרכנו פחות, </t>
  </si>
  <si>
    <t xml:space="preserve">כלומר ההוצאה נמוכה יותר, ולכן מלאי הסגירה הוא </t>
  </si>
  <si>
    <t>בצד ההוצאות בסימן שלילי</t>
  </si>
  <si>
    <t>כל עסקה, שלא נרשמה, או נרשמה באופן שגוי או בסכום שגוי מכל סיבה שהיא - חייבת לקבל ביטוי</t>
  </si>
  <si>
    <t>בדרך של פקודת יומן מתקנת.</t>
  </si>
  <si>
    <t>וכיצד רושמים פקודת יומן לתיעוד מכירה באשראי?</t>
  </si>
  <si>
    <t xml:space="preserve">בגין מכירה או מתן שירות שהעסק ביצע, חובה לרשום הכנסה, לפי שווי המכירה / מתן השירות, </t>
  </si>
  <si>
    <t xml:space="preserve">וזאת ללא תלות בעיתוי התשלום בעד העסקה. </t>
  </si>
  <si>
    <t>זכות מכירות 22</t>
  </si>
  <si>
    <t>חובה לקוחות 22</t>
  </si>
  <si>
    <t>הואיל וכנתון המכירה בוצעה באשראי, הרי שבמקביל לרישום ההכנסה, חוב הלקוח כלפי החברה</t>
  </si>
  <si>
    <t>גדל (מכירה באשראי היא מכירה שתמורתה טרם נתקבלה, ולכן מגדילה את חוב הלקוח כלפי</t>
  </si>
  <si>
    <r>
      <t xml:space="preserve">החברה). גידול בחוב הלקוח כלפי החברה משתקף בנכס </t>
    </r>
    <r>
      <rPr>
        <b/>
        <sz val="12"/>
        <color theme="1"/>
        <rFont val="David"/>
        <family val="2"/>
        <charset val="177"/>
      </rPr>
      <t>לקוחות</t>
    </r>
    <r>
      <rPr>
        <sz val="12"/>
        <color theme="1"/>
        <rFont val="David"/>
        <family val="2"/>
        <charset val="177"/>
      </rPr>
      <t xml:space="preserve">. </t>
    </r>
  </si>
  <si>
    <t>פקודת יומן - הכנסה וגידול בנכס לקוחות:</t>
  </si>
  <si>
    <t>מכונות - 
פחנ״צ 
31.12</t>
  </si>
  <si>
    <t>הוצאות השכר בטבלת הנתונים הגולמית הן בסך:</t>
  </si>
  <si>
    <t xml:space="preserve">יש כאן עיוות שחייבים לתקן: ללא תלות בעיתוי תשלומי השכר, הוצאות השכר בחברה חייבות </t>
  </si>
  <si>
    <t xml:space="preserve">לשקף בכל שנה ושנה את שווי שירותי העבודה שנצרכו - במהלך השנה כולה. </t>
  </si>
  <si>
    <t>הואיל והחברה תיעדה רק 10 חודשי שכר בסך הכל, חייבים לדאוג להשלמת רישום ההוצאה</t>
  </si>
  <si>
    <t xml:space="preserve">בעד חודשיים נוספים (נובמבר ודצמבר). </t>
  </si>
  <si>
    <t>הואיל ונתון שהוצאות השכר הנתונות ל-10 חודשים מתפלגות באופן אחיד, הפרשנות: הוצאות השכר</t>
  </si>
  <si>
    <t>החודשיות קבועות. הואיל ושכר בסך 80 אלפי ש״ח הוא ל-10 חודשים, הרי שהוצאות השכר לחודש</t>
  </si>
  <si>
    <t>אחד הן:</t>
  </si>
  <si>
    <t xml:space="preserve">80 / 10 = </t>
  </si>
  <si>
    <t xml:space="preserve">8 * 2 = </t>
  </si>
  <si>
    <r>
      <t xml:space="preserve">עבור חודשיים נוספים, הוצאות השכר </t>
    </r>
    <r>
      <rPr>
        <u/>
        <sz val="12"/>
        <color theme="1"/>
        <rFont val="David"/>
        <family val="2"/>
        <charset val="177"/>
      </rPr>
      <t>הנוספות</t>
    </r>
    <r>
      <rPr>
        <sz val="12"/>
        <color theme="1"/>
        <rFont val="David"/>
        <family val="2"/>
        <charset val="177"/>
      </rPr>
      <t xml:space="preserve"> שתרשמנה:</t>
    </r>
  </si>
  <si>
    <t>פקודת יומן - הוצ׳ שכר נוספות:</t>
  </si>
  <si>
    <t>חובה הוצאות שכר 16</t>
  </si>
  <si>
    <t>זכות הוצאות לשלם 16</t>
  </si>
  <si>
    <t>תזכורת: מחויבות שנוצרת בגןי שירות מתמשך (עבודה, שכר דירה, ייעוץ, חשמל וכיוצא בזה) טרם הונפקו</t>
  </si>
  <si>
    <t>אסמכתאות (חשבוניות / תלושי שכר) תירשמנה כנגד הוצאות לשלם.</t>
  </si>
  <si>
    <t>הוצאות השכר בחברה מסווגות לסעיף הוצאות הנהלה וכלליות. החברה טרם שילמה ולכן טרם</t>
  </si>
  <si>
    <t>שלב 3 - עריכת דוחות כספיים מלאים</t>
  </si>
  <si>
    <t>מאזן - הדוח על המצב הכספי ליום 31.12.2020</t>
  </si>
  <si>
    <t>נכסים שוטפים (עד שנה)</t>
  </si>
  <si>
    <t>נכסים לא שוטפים (מעל שנה)</t>
  </si>
  <si>
    <t>התחייבויות שוטפות (עד שנה)</t>
  </si>
  <si>
    <t>התחייבויות לא שוטפות (מעל שנה)</t>
  </si>
  <si>
    <t>השקעות לזמן קצר</t>
  </si>
  <si>
    <t>סך הנכסים שוטפים</t>
  </si>
  <si>
    <t>רכוש קבוע, נטו (*)</t>
  </si>
  <si>
    <t>ביאורים נוספים:</t>
  </si>
  <si>
    <t>רכוש קבוע, נטו:</t>
  </si>
  <si>
    <t xml:space="preserve">מוצג כערך מספרי יחיד לפי העלות בניכוי הפחת הנצבר למועד הדיווח. </t>
  </si>
  <si>
    <t xml:space="preserve">מכונות - עלות </t>
  </si>
  <si>
    <t>בניכוי פחת נצבר מכונות</t>
  </si>
  <si>
    <t>רכוש קבוע נטו</t>
  </si>
  <si>
    <t>השקעות לזמן ארוך</t>
  </si>
  <si>
    <t>נכסים בלתי מוחשיים (**)</t>
  </si>
  <si>
    <t>נכסים בלתי מוחשיים:</t>
  </si>
  <si>
    <t>סעיף זה יאגד לתוכו את הערך המצרפי (הסכום הכולל) של כל פריטי הנכסים הבלתי מוחשיים, יחד. כלומר, נחבר</t>
  </si>
  <si>
    <t>פטנטים, זיכיונות, קניין רוחני, זכויות יוצרים, תוכנות וכיו״ב. במקרה הזה, מדובר בפריט אחד ויחיד של פטנטים</t>
  </si>
  <si>
    <t xml:space="preserve">שסכומם ידוע. </t>
  </si>
  <si>
    <t>סך הנכסים הלא שוטפים</t>
  </si>
  <si>
    <t>סך הנכסים - שוטפים ולא שוטפים</t>
  </si>
  <si>
    <t>זכאים (כולל הוצ׳ לשלם)</t>
  </si>
  <si>
    <t>סך ההתחייבויות השוטפות</t>
  </si>
  <si>
    <t>סך ההתחייבויות הלא שוטפות</t>
  </si>
  <si>
    <t>עודפים</t>
  </si>
  <si>
    <t>עודפים (שימו לב ל-31.12)</t>
  </si>
  <si>
    <t>עודפים:</t>
  </si>
  <si>
    <t>יתרת העודפים בדוח על המצב הכספי ל-31.12.2020 חייבת לכלול אך ורק את העודפים המעודכנים לתאריך זה.</t>
  </si>
  <si>
    <t>הצבה של יתרת העודפים ל-1.1.2020 היא בגדר טעות חמורה במיוחד.</t>
  </si>
  <si>
    <t>סך ההתחייבויות וההון</t>
  </si>
  <si>
    <t>סך ההון העצמי</t>
  </si>
  <si>
    <t>חילוץ יתרת עודפים ל-31.12.2020:</t>
  </si>
  <si>
    <t>ידוע שלתום השנה, סך הנכסים זהים לסך ההתחייבויות וההון.</t>
  </si>
  <si>
    <t>סך הנכסים:</t>
  </si>
  <si>
    <t>סך ההתחייבויות וההון כולל עודפים לתום שנה (y):</t>
  </si>
  <si>
    <t>שוטפות</t>
  </si>
  <si>
    <t>לא שוטפות</t>
  </si>
  <si>
    <t>חלק מההון</t>
  </si>
  <si>
    <t>העצמי</t>
  </si>
  <si>
    <t>לתום שנה</t>
  </si>
  <si>
    <t>286 + 100 + 30 + y</t>
  </si>
  <si>
    <t>בסך הכל העודפים יחולצו לתום שנה כך:</t>
  </si>
  <si>
    <t>286 + 100 + 30 + y = 3,017</t>
  </si>
  <si>
    <t xml:space="preserve">y = </t>
  </si>
  <si>
    <t>דוח רווח והפסד - לשנה שנסתיימה ב-31.12.2020</t>
  </si>
  <si>
    <t>הוצאות מכירה ושיווק</t>
  </si>
  <si>
    <t>הוצאות הנהלה וכלליות</t>
  </si>
  <si>
    <t>הכנסות / הוצאות אחרות</t>
  </si>
  <si>
    <t>הוצאות מימון</t>
  </si>
  <si>
    <t>הכנסות מימון</t>
  </si>
  <si>
    <t>סעיף המכירות בדוח רווח והפסד משקף למעשה את המכירות נטו, ואלו רכיביו:</t>
  </si>
  <si>
    <t>מכירות (ברוטו)</t>
  </si>
  <si>
    <t>הנחות מסחריות ללקוחות</t>
  </si>
  <si>
    <t>מכירות (נטו) לרווח והפסד</t>
  </si>
  <si>
    <t>כללי</t>
  </si>
  <si>
    <t>כאן</t>
  </si>
  <si>
    <t>עלות המכירות / עלות המכר:</t>
  </si>
  <si>
    <t>משקפת את עלות המלאי שנמכר, ומחושבת על בסיס 6 רכיבים:</t>
  </si>
  <si>
    <t>מלאי פתיחה (1.1)</t>
  </si>
  <si>
    <t>קניות (ברוטו)</t>
  </si>
  <si>
    <t>הובלת קניות למחסן</t>
  </si>
  <si>
    <t>מלאי סגירה (31.12)</t>
  </si>
  <si>
    <t>סך הכל עלות המכר</t>
  </si>
  <si>
    <t>מכירות בניכוי עלות המכר</t>
  </si>
  <si>
    <t>הוצאות מכירה ושיווק:</t>
  </si>
  <si>
    <t>עלויות הקשורות לפרסום, שיווק, הפצה ללקוחות, משלוחים ללקוחות, עמלות סוכנים וכיוצא בזה.</t>
  </si>
  <si>
    <t>במקרה זה:</t>
  </si>
  <si>
    <t>עמלות סוכנים</t>
  </si>
  <si>
    <t>סך הכל הוצ׳ מכירה ושיווק</t>
  </si>
  <si>
    <t>הוצאות הנהלה וכלליות:</t>
  </si>
  <si>
    <t>כמעט כל הוצאה שוטפת שאיננה מימון. דוגמאות במקרה זה:</t>
  </si>
  <si>
    <t>הוצאות שכר (אלא אם נאמר שמדובר במשכורות ייעודיות לאנשי שיווק למשל)</t>
  </si>
  <si>
    <t>הוצאות טלפון (אלא אם נאמר...)</t>
  </si>
  <si>
    <t>הוצאות חשמל (אלא אם..)</t>
  </si>
  <si>
    <t>שכר טרחה רואה חשבון</t>
  </si>
  <si>
    <t>פחת (אלא אם נאמר שהפריט המופחת משרת פעילות ספציפית שונה)</t>
  </si>
  <si>
    <t>סך הכל הוצ׳ הנהלה וכלליות</t>
  </si>
  <si>
    <t>הכנסות / הוצאות אחרות:</t>
  </si>
  <si>
    <t>הכנסות אחרות תכלולנה את סוגי ההכנסות שאינן מהפעילות העיקרית ואינן הכנסות מימון.</t>
  </si>
  <si>
    <t>כגון:</t>
  </si>
  <si>
    <t xml:space="preserve">הכנסות משכר דירה </t>
  </si>
  <si>
    <t>הכנסות מייעוץ (אם זו לא הפעילות העיקרית)</t>
  </si>
  <si>
    <t>רווח הון ממכירת רכוש קבוע</t>
  </si>
  <si>
    <t>הוצאות אחרות תכלולנה את כל סוגי ההוצאות החריגות / החד פעמיות, כגון:</t>
  </si>
  <si>
    <t>הפסד הון ממימוש רכוש קבוע</t>
  </si>
  <si>
    <t>הפסד חד פעמי מנזקי שריפה / אירועי טבע</t>
  </si>
  <si>
    <t>עלויות ארגון מחדש של החברה</t>
  </si>
  <si>
    <t>כאן הסעיף לא רלוונטי.</t>
  </si>
  <si>
    <t>הפסד תפעולי</t>
  </si>
  <si>
    <t>הפסד נקי</t>
  </si>
  <si>
    <t>הוצאות ריבית (כולל הנחת מזומן שניתנה) ועמלות בנק</t>
  </si>
  <si>
    <t>הכנסות ריבית (כולל הנחת מזומן שנתקבלה)</t>
  </si>
  <si>
    <t>בקרה:</t>
  </si>
  <si>
    <t>הפסד השנה</t>
  </si>
  <si>
    <t>עודפים 31.12</t>
  </si>
  <si>
    <t>להלן נתונים בדבר היתרות הכספיות בספרי חברת ״מבודדים כל היום״ העוסקת בייצור ובשיווק של משחקים לתקופות</t>
  </si>
  <si>
    <t xml:space="preserve">בידוד העוברות על כולנו בשנים האחרונות. כל היתרות מעודכנות ליום 31.12.2021 אלא אם נאמר מפורשות אחרת. </t>
  </si>
  <si>
    <t>הוצאות ארנונה</t>
  </si>
  <si>
    <t>מזומן בקופה</t>
  </si>
  <si>
    <t xml:space="preserve">לא התקיימה יתרת התחייבות בגין ארנונה ליום 31.12.2021. </t>
  </si>
  <si>
    <t xml:space="preserve">סכום זה שולם במלואו בהעברה בנקאית מהעו״ש במהלך 2021 ומנהל החשבונות זקף אותו כהוצאות ארנונה של 2021.  </t>
  </si>
  <si>
    <t>מחשבים - עלות</t>
  </si>
  <si>
    <t>מחשבים - פחת נצבר 1.1.2021</t>
  </si>
  <si>
    <t xml:space="preserve">ב. המחשבים שבבעלות החברה נרכשו ב- 30.6.2020, הגיעו לחברה ב-1.8.2020 והפכו לזמינים לשימוש ב-1.9.2020. </t>
  </si>
  <si>
    <t xml:space="preserve">הם כוללים 100 מחשבים מדגם Macbook Air M1, שכולם בעלות זהה. אורך החיים השימושיים של המחשבים 5 שנים </t>
  </si>
  <si>
    <t xml:space="preserve">והם מופחתים בשיטת הקו הישר, ללא ערך שייר / גרט. </t>
  </si>
  <si>
    <t>טלפונים סלולריים</t>
  </si>
  <si>
    <t xml:space="preserve">ג. הטלפונים הסלולריים שבבעלות החברה כוללים 100 מכשירי iPhone 13 Pro Max 1 TB שנרכשו בתאריך 1.9.2021. </t>
  </si>
  <si>
    <t>הטלפונים הפכו לזמינים לשימוש באותו היום, והם מופחתים בשיטת הקו הישר, ללא ערך שייר, על פני 3 שנים. ב-31.12.2021</t>
  </si>
  <si>
    <t>נמכר אחד מהטלפונים ללקוח שהיה להוט להשיג את האייפון החדש, ונוצר בעסקת המכירה רווח הון בסך 1,000 ש״ח.</t>
  </si>
  <si>
    <t>הכנסות ריבית</t>
  </si>
  <si>
    <t>הוצאות שיווק</t>
  </si>
  <si>
    <t>הוצאות שכר - הנהלה</t>
  </si>
  <si>
    <t>הוצאות שכר - משווקים</t>
  </si>
  <si>
    <t>הוצאות הנהלת חשבונות</t>
  </si>
  <si>
    <t>מלאי סגירה - מאזן</t>
  </si>
  <si>
    <t>מלאי סגירה - רווח והפסד</t>
  </si>
  <si>
    <t xml:space="preserve">ד. במהלך שנת 2021 העניקה החברה באופן חד פעמי שירות ללקוח שחורג מתחום עיסוקה הרגיל. החברה נוהגת לזקוף  </t>
  </si>
  <si>
    <t xml:space="preserve">הכנסות משירותים מיוחדים לסעיף ״הכנסות אחרות״ בדוח רווח והפסד. עד לתום שנת 2021 לא ניתן ביטוי לאירוע זה, </t>
  </si>
  <si>
    <t xml:space="preserve">כאשר החברה צופה כי המכירה של המלאי בעתיד צפויה בתמורה כוללת של 55 ש״ח ליחידה. יחד עם זאת, כדי להשלים את </t>
  </si>
  <si>
    <t>המכירה נדרש לבצע ניקוי של פריטי המלאי בעלות 1 ש״ח ליחידה, אריזה שלהם בעלות 3 ש״ח ליחידה, וכן הפצתם ללקוחות</t>
  </si>
  <si>
    <t>בעלות של 6 ש״ח ליחידה.</t>
  </si>
  <si>
    <t>ה. נכון ליום 31.12.2021 כוללת יתרת המלאי בדוחות הכספיים 1,000 יחידות מוצר. העלות ליחידת מוצר הסתכמה ב-40 ש״ח,</t>
  </si>
  <si>
    <t>א. השלימו את טבלת היתרות לעיל.</t>
  </si>
  <si>
    <r>
      <t>ב. חלצו את כל הערכים החסרים בטבלה, המסומנים ב-״?״ [</t>
    </r>
    <r>
      <rPr>
        <u/>
        <sz val="12"/>
        <color theme="1"/>
        <rFont val="David"/>
        <family val="2"/>
        <charset val="177"/>
      </rPr>
      <t>לפני</t>
    </r>
    <r>
      <rPr>
        <sz val="12"/>
        <color theme="1"/>
        <rFont val="David"/>
        <family val="2"/>
        <charset val="177"/>
      </rPr>
      <t xml:space="preserve"> תיקונים ועדכונים לשנה השוטפת].</t>
    </r>
  </si>
  <si>
    <t xml:space="preserve">ג. רשמו פקודות יומן מלאות למתן ביטוי לנתונים הנוספים, ועדכנו את יתרות הטבלה בהתאם. </t>
  </si>
  <si>
    <t>ד. ערכו את הדוחות הכספיים המלאים - הדוח על המצב הכספי (מאזן) ליום 31.12.2021 ודוח רווח והפסד לשנה שהסתיימה</t>
  </si>
  <si>
    <t xml:space="preserve">     באותו תאריך.</t>
  </si>
  <si>
    <t>לגבי המבחן:</t>
  </si>
  <si>
    <t>כולנו ממתינים בכליון עיניים להנחיות הסופיות שתקבענה לגבי אופן ההבחנות. ככלל, המבנה העקרוני איננו שונה - שאלת מסה גדולה</t>
  </si>
  <si>
    <t>ושאלות קטנות בכל נושאי הקורס (בחלקים א ו-ב של הבחינה בהתאמה) ללא תלות באופן ביצוע הבחינה. אלא שאופן ביצוע הבחינה</t>
  </si>
  <si>
    <t>בפועל ישפיע על הכלי בו נבחנים (האם אפשר / אי אפשר קובץ אקסל, למשל) וכיו״ב. לכן, למרות הלחץ, נצטרך להמתין עד להחלטה</t>
  </si>
  <si>
    <t>סופית שמיד אחריה נפרסם הודעה מסודרת בנושא.</t>
  </si>
  <si>
    <t>מטרות:</t>
  </si>
  <si>
    <t>א. תרגול אינטנסיבי מלא של שאלת מסה מ-א׳ עד ת׳ (בעיקר הצד החישובי, אם לא נספיק את הצד של העריכה כי לא נרצה לרוץ עמכם,</t>
  </si>
  <si>
    <t xml:space="preserve">נציג לכם דוחות כספיים מלאים לאחר מכן). </t>
  </si>
  <si>
    <t xml:space="preserve">ב. פרידה מרגשת עד העונג הבא. </t>
  </si>
  <si>
    <r>
      <t xml:space="preserve">הוצאות ארנונה </t>
    </r>
    <r>
      <rPr>
        <b/>
        <sz val="12"/>
        <color theme="1"/>
        <rFont val="David"/>
        <family val="2"/>
        <charset val="177"/>
      </rPr>
      <t>לשלם</t>
    </r>
    <r>
      <rPr>
        <sz val="12"/>
        <color theme="1"/>
        <rFont val="David"/>
        <family val="2"/>
        <charset val="177"/>
      </rPr>
      <t xml:space="preserve"> 1.1.2021</t>
    </r>
  </si>
  <si>
    <t>מלאי פתיחה - 1.1.2021</t>
  </si>
  <si>
    <t xml:space="preserve">          זכיונות, בדומה לפטנטים, שמות מסחריים וכיוצא בזה - יסווגו בדוחות הכספיים לנכסים בלתי מוחשיים בקבוצת הנכסים         </t>
  </si>
  <si>
    <t xml:space="preserve">          הלא שוטפים. </t>
  </si>
  <si>
    <r>
      <rPr>
        <b/>
        <sz val="12"/>
        <color theme="1"/>
        <rFont val="David"/>
        <family val="2"/>
        <charset val="177"/>
      </rPr>
      <t>זכיון:</t>
    </r>
    <r>
      <rPr>
        <sz val="12"/>
        <color theme="1"/>
        <rFont val="David"/>
        <family val="2"/>
        <charset val="177"/>
      </rPr>
      <t xml:space="preserve"> ״רישיון שימוש״ במותג / במשאבים / במערך התפעולי של רשת מסויימת. למשל, זיכיון לפתיחת סניף מקדונלדס באור יהודה.</t>
    </r>
  </si>
  <si>
    <r>
      <rPr>
        <b/>
        <sz val="12"/>
        <color theme="1"/>
        <rFont val="David"/>
        <family val="2"/>
        <charset val="177"/>
      </rPr>
      <t>פריטי ״הוצאה״</t>
    </r>
    <r>
      <rPr>
        <sz val="12"/>
        <color theme="1"/>
        <rFont val="David"/>
        <family val="2"/>
        <charset val="177"/>
      </rPr>
      <t xml:space="preserve"> (הוצאות חשמל, הוצאות טלפון, הוצאות ריבית) כמובן נזקפים להוצאות. </t>
    </r>
  </si>
  <si>
    <r>
      <t xml:space="preserve">יחד עם זאת, חשבונות חתך - </t>
    </r>
    <r>
      <rPr>
        <b/>
        <sz val="12"/>
        <color theme="1"/>
        <rFont val="David"/>
        <family val="2"/>
        <charset val="177"/>
      </rPr>
      <t>״הוצאות מראש״ ו״הוצאות לשלם״ אינם הוצאות</t>
    </r>
    <r>
      <rPr>
        <sz val="12"/>
        <color theme="1"/>
        <rFont val="David"/>
        <family val="2"/>
        <charset val="177"/>
      </rPr>
      <t>, אלא נכסים או התחייבויות:</t>
    </r>
  </si>
  <si>
    <t>הוצאות מראש</t>
  </si>
  <si>
    <t>הוצאות לשלם</t>
  </si>
  <si>
    <r>
      <t xml:space="preserve">א. נכון ליום 31.12.2020, לא שולמו הוצאות ארנונה עבור החודשים נובמבר ודצמבר 2020. ערכן </t>
    </r>
    <r>
      <rPr>
        <u/>
        <sz val="12"/>
        <color theme="1"/>
        <rFont val="David"/>
        <family val="2"/>
        <charset val="177"/>
      </rPr>
      <t>החודשי</t>
    </r>
    <r>
      <rPr>
        <sz val="12"/>
        <color theme="1"/>
        <rFont val="David"/>
        <family val="2"/>
        <charset val="177"/>
      </rPr>
      <t xml:space="preserve"> לחודשים אלו 5,000 ש״ח.</t>
    </r>
  </si>
  <si>
    <t>הסברים נוספים - הגדרות</t>
  </si>
  <si>
    <t>הסברים נוספים - שיחזור ערכים ל-1.1.2021</t>
  </si>
  <si>
    <t>הוצאות ארנונה לשלם  - 1.1.2021:</t>
  </si>
  <si>
    <t>תמיד ולעולם, התחייבות ליום 1.1 של שנה מסוימת, זהה לאותה התחייבות ל-31.12</t>
  </si>
  <si>
    <t>של השנה הקודמת.</t>
  </si>
  <si>
    <t xml:space="preserve">לכן למעשה, הוצ׳ ארנונה לשלם ל-1.1.2021 = 31.12.2020. </t>
  </si>
  <si>
    <t>בנתוני השאלה (נתון א) נאמר שבשנת 2020 לא שולמו הוצאות ארנונה בסך 5,000 ש״ח</t>
  </si>
  <si>
    <t>לחודש, וזאת במשך 2 חודשי השנה (2020) האחרונים, ולכן הוצ׳ הארנונה לשלם</t>
  </si>
  <si>
    <t>לתום 2020 (באלפי ש״ח):</t>
  </si>
  <si>
    <t xml:space="preserve">5 * 2 = </t>
  </si>
  <si>
    <t xml:space="preserve">עודפים 1.1.2021 </t>
  </si>
  <si>
    <t>פחת נצבר מחשבים - 1.1.2021:</t>
  </si>
  <si>
    <t>בהתאם לנתוני השאלה - (בטבלת הנתונים): עלות המחשבים באלפים:</t>
  </si>
  <si>
    <t>אורך החיים בשנים של המחשבים:</t>
  </si>
  <si>
    <t>שיטת הפחת:</t>
  </si>
  <si>
    <t>ערך שייר - גרט:</t>
  </si>
  <si>
    <t>1.9.2020</t>
  </si>
  <si>
    <r>
      <t xml:space="preserve">מועד תחילת ההפחתה - </t>
    </r>
    <r>
      <rPr>
        <b/>
        <sz val="12"/>
        <color theme="1"/>
        <rFont val="David"/>
        <family val="2"/>
        <charset val="177"/>
      </rPr>
      <t>זמינות לשימוש</t>
    </r>
    <r>
      <rPr>
        <sz val="12"/>
        <color theme="1"/>
        <rFont val="David"/>
        <family val="2"/>
        <charset val="177"/>
      </rPr>
      <t>:</t>
    </r>
  </si>
  <si>
    <t>פחת נצבר ממועד הזמינות לשימוש - 1.9.2020 עד ל-31.12.020 (= 1.1.2021):</t>
  </si>
  <si>
    <t xml:space="preserve">[(400 - 0)/5]*(4/12) = </t>
  </si>
  <si>
    <t>הסבר מלא: נטלנו את העלות 400, בניכוי השייר / גרט (0), את כל זה חילקנו בתקופת</t>
  </si>
  <si>
    <t>ההפחתה שהיא 5 שנים, וכך קיבלנו הוצאות פחת לשנה שלמה. אבל, הואיל וההפחתה</t>
  </si>
  <si>
    <t xml:space="preserve">איננה לשנה שלמה, אלא ל-4 חודשים בלבד (חודשים 9, 10, 11, 12 של שנת 2020) </t>
  </si>
  <si>
    <t xml:space="preserve">הרי שעלינו לכפול בחלק היחסי של השנה את ההוצאה השנתית 4/12. </t>
  </si>
  <si>
    <t>מלאי ליום 31.12.2021:</t>
  </si>
  <si>
    <t>לצורך אומדן ערכי מלאי הסגירה ליום 31.12.2021, עלינו להתבסס על נתוני העלות</t>
  </si>
  <si>
    <t>מצד אחד, ושווי המימוש נטו כהגדרתו מן העבר השני. זכרו: מלאי הסגירה תמיד</t>
  </si>
  <si>
    <t>נמדד לפי הנמוך מבין שני ערכים: עלות או שווי מימוש נטו.</t>
  </si>
  <si>
    <t>עלות יח׳:</t>
  </si>
  <si>
    <t>שווי מימוש נטו ליח׳:</t>
  </si>
  <si>
    <t>מחיר מכירה צפוי</t>
  </si>
  <si>
    <t xml:space="preserve">זכרו: שווי המימוש נטו מוגדר בתור התמורה נטו הצפויה ממכירת פריט מלאי שנותר </t>
  </si>
  <si>
    <t xml:space="preserve">בחברה לתום תקופת הדיווח. </t>
  </si>
  <si>
    <t>יש לנכות ממחיר המכירה הצפוי ברוטו, לפיכך, את עלויות ההשלמה - שהן אותן עלויות</t>
  </si>
  <si>
    <t>פיזיות שנוצרות כדי להכין את הפריט למכירה (ניקוי, אריזה, בדיקת תקינות, תיקונים</t>
  </si>
  <si>
    <t>וכיוצא בזה) וכן עלויות שתיווצרנה כדי למכור את הפריט (עמלות הפצה, עמלות סוכנים,</t>
  </si>
  <si>
    <t xml:space="preserve">משלוח ללקוח). </t>
  </si>
  <si>
    <t>במקרה שלנו - עלויות ההשלמה כללו ניקיון ואריזה, ועלויות המכירה כללו משלוח ללקוח.</t>
  </si>
  <si>
    <t>הואיל והנמוך מבין עלות לשווי מימוש נטו במקרה זה - זוהי העלות, נתבסס עליה</t>
  </si>
  <si>
    <t>להצגת ערך המלאי בדוחות הכספיים לתום השנה.</t>
  </si>
  <si>
    <t>ערך חשבונאי ליח׳ מלאי:</t>
  </si>
  <si>
    <t>יח׳ במלאי לתום השנה:</t>
  </si>
  <si>
    <t>ערך חשבונאי מלאי סגירה:</t>
  </si>
  <si>
    <t xml:space="preserve">40 * 1,000 = </t>
  </si>
  <si>
    <t>שיחזור עודפים ליום 1.1.2021:</t>
  </si>
  <si>
    <t>בשלב זה, לאחר סיכום הערכים לאחר השיחזורים הראשוניים, אנו יודעים ש:</t>
  </si>
  <si>
    <t>80 + x</t>
  </si>
  <si>
    <t>כאשר x מייצג את יתרת העודפים שלא נתונה</t>
  </si>
  <si>
    <t>נכסים = התחייבויות + הון עצמי</t>
  </si>
  <si>
    <t>נכסים = התחייבויות + הון עצמי 1.1 + רווח / הפסד השנה</t>
  </si>
  <si>
    <t>בהצבה:</t>
  </si>
  <si>
    <t>2203.333 = 130 + 80 + x + (473 - 528)</t>
  </si>
  <si>
    <t>עדכונים ופקודות יומן - בגין 2021</t>
  </si>
  <si>
    <t>בשלב זה, עלינו לעבור על כל הנתונים הנוספים, ללא יוצא מן הכלל ולוודא שמעדכנים כל מה שצריך, ומתקנים כל רישום שגוי שבוצע.</t>
  </si>
  <si>
    <t>מנהל החשבונות שגה. למעשה, הוא רשם את פקודת היומן הבאה כדי לבטא סילוק התחייבות הוצאות לשלם בגין ארנונה:</t>
  </si>
  <si>
    <t>חובה הוצאות ארנונה 10,000</t>
  </si>
  <si>
    <t>זכות עו״ש בנק 10,000</t>
  </si>
  <si>
    <t>&lt;&lt;&lt;&lt;</t>
  </si>
  <si>
    <t>זו שגיאה! סילוק התחייבות זו לא הוצאה!</t>
  </si>
  <si>
    <t>נרשם בפועל - הנהלת חשבונות:</t>
  </si>
  <si>
    <t>פקודת התיקון:</t>
  </si>
  <si>
    <t>מטרת פקודת התיקון היא ״להעיף״ או ״לבטל״ באופן מלא את הוצאות הארנונה הללו,</t>
  </si>
  <si>
    <t xml:space="preserve">משום שהן אינן הוצאה של 2021 אלא של שנה קודמת. </t>
  </si>
  <si>
    <t xml:space="preserve">במקביל, פקודת היומן תצטרך גם לבטל את ההתחייבות בגין ארנונה לשלם, שהרי </t>
  </si>
  <si>
    <t xml:space="preserve">התחייבות זו סולקה בפקודה זו. </t>
  </si>
  <si>
    <t>זכות הוצאות ארנונה 10,000</t>
  </si>
  <si>
    <t>החלק שמבטל הוצאות ששייכות לשנים קודמות</t>
  </si>
  <si>
    <t>חובה הוצאות לשלם 10,000</t>
  </si>
  <si>
    <t>איפוס ההתחייבות בגין ארנונה לשלם</t>
  </si>
  <si>
    <t xml:space="preserve">טיפ: אם נרשמה פקודה ״מקולקלת״, שגויה, על ידי מנהל החשבונות, ואנו עורכים פקוד תיקון, </t>
  </si>
  <si>
    <t xml:space="preserve">כדי להתגבר על שגיאה זו - עדכון הנתונים בטבלה יבוצע רק על בסיס פקודת התיקון. </t>
  </si>
  <si>
    <t>טבלה מעודכנת אחרי פקודות נוספות:</t>
  </si>
  <si>
    <r>
      <t xml:space="preserve">הוצאות ארנונה לשלם </t>
    </r>
    <r>
      <rPr>
        <b/>
        <sz val="12"/>
        <color rgb="FFFF0000"/>
        <rFont val="David"/>
        <family val="2"/>
        <charset val="177"/>
      </rPr>
      <t>31.12</t>
    </r>
  </si>
  <si>
    <t>״מקורי״</t>
  </si>
  <si>
    <t>החלק הזה של הפקודה נכון! בגינו לא נוגעים בנתונים</t>
  </si>
  <si>
    <t>באופן כללי, בגין כל נתון נוסף העוסק ברכוש קבוע (מכונות, ציוד, כלי רכב, מבנים) - עלינו לוודא</t>
  </si>
  <si>
    <t>שתרשמנה הוצאות פחת על השנה השוטפת (2021) וכן לעדכן את הפחת הנצבר לסוף השנה (31.12.2021).</t>
  </si>
  <si>
    <t>(400 - 0)/5 =</t>
  </si>
  <si>
    <t>תחילה - הוצאות פחת - רק על השנה, רק בגין 2021 - שימו לב, זה על שנה שלמה כי הפריט היה אצלי</t>
  </si>
  <si>
    <t>כל השנה:</t>
  </si>
  <si>
    <t>פקודת יומן - הוצ׳ פחת:</t>
  </si>
  <si>
    <t>חובה הוצאות פחת</t>
  </si>
  <si>
    <t>זכות פחת נצבר - מחשבים</t>
  </si>
  <si>
    <t>כי הוצאות הן תמיד בחובה</t>
  </si>
  <si>
    <t>כי פחת נצבר מקטין נכסים</t>
  </si>
  <si>
    <t>הוצאות פחת (מחשבים)</t>
  </si>
  <si>
    <t>מחשבים - פחת נצבר 31.12</t>
  </si>
  <si>
    <t>שימו לב: בטבלת הערכים המעודכנים, הוצאות הפחת נרשמות בשורה נפרדת חדשה כדי לתת להן ביטוי.</t>
  </si>
  <si>
    <t>לעומת זאת, הפחת הנצבר בגין המחשבים העדכני, יהיה מורכב מהפחת הנצבר איתו התחלנו את השנה</t>
  </si>
  <si>
    <t>בתוספת הפחת שהתווסף השנה, וכמובן - הערך הכולל יוצב בנכסים בסימן שלילי:</t>
  </si>
  <si>
    <t>פחת נצבר מחשבים 1.1</t>
  </si>
  <si>
    <t>פחת נוסף השנה</t>
  </si>
  <si>
    <t>פחת נצבר מחשבים 31.12</t>
  </si>
  <si>
    <t>&lt;&lt;&lt;</t>
  </si>
  <si>
    <t>יוצג בנכסים בסימן שלילי</t>
  </si>
  <si>
    <t>האם זה נכון להגיד שיש כאן פריט רכוש קבוע?</t>
  </si>
  <si>
    <t>כן!</t>
  </si>
  <si>
    <t xml:space="preserve">לכן העדכון הבסיסי שאנו חייבים לרשום הוא בגין הוצאות הפחת עבור הפריט. </t>
  </si>
  <si>
    <t>בהתאם לנתוני טבלת הנתונים בשאלה עצמה, נתון שהאייפונים עלו 700 אלפי ש״ח.</t>
  </si>
  <si>
    <t>הוצאות פחת השנה:</t>
  </si>
  <si>
    <t xml:space="preserve">[(700 - 0) / 3] * 4/12 = </t>
  </si>
  <si>
    <t>זכות פחת נצבר - טלפונים</t>
  </si>
  <si>
    <t>הוצאות פחת (טלפונים)</t>
  </si>
  <si>
    <t>פחת נצבר טלפונים סלולריים</t>
  </si>
  <si>
    <t>כעת נטפל בעסקת מכירת הטלפון:</t>
  </si>
  <si>
    <t>ראשית, מכרו טלפון אחד מתוך ה-100.</t>
  </si>
  <si>
    <t>כל 100 הטלפונים עלו 700 אלפי ש״ח.</t>
  </si>
  <si>
    <t>טלפון אחד עלה:</t>
  </si>
  <si>
    <t>הפחת הנצבר עליו עד מכירתו:</t>
  </si>
  <si>
    <t xml:space="preserve">[(7 - 0) / 3] * 4/12 = </t>
  </si>
  <si>
    <t>עלות מופחת ערב המכירה</t>
  </si>
  <si>
    <t xml:space="preserve"> 7 - 0.778 = </t>
  </si>
  <si>
    <t>תמורת המכירה</t>
  </si>
  <si>
    <t>עלות מופחתת ערב המכירה</t>
  </si>
  <si>
    <t>נתון בשאלה</t>
  </si>
  <si>
    <t>חושב לעיל</t>
  </si>
  <si>
    <t>אם מכרתי והרווחתי 1, מכרתי ב-1 מעל עלות מופחתת.</t>
  </si>
  <si>
    <t>השפעת המכירה:</t>
  </si>
  <si>
    <t>חובה עו״ש</t>
  </si>
  <si>
    <t>כי המזומן/עו״ש גדל בגובה מלוא תמורת המכירה</t>
  </si>
  <si>
    <t>זכות טלפונים - עלות</t>
  </si>
  <si>
    <t>מחשבון העלות יש לבטל טלפון אחד שעלותו ההיסטורית 7</t>
  </si>
  <si>
    <t>חובה פחת נצבר - טלפונים</t>
  </si>
  <si>
    <t>מכירת פריט דורשת גם ביטול הפחת הנצבר בגינו</t>
  </si>
  <si>
    <t>לפי התמורה:</t>
  </si>
  <si>
    <t>לפי עלות של הנמכר:</t>
  </si>
  <si>
    <t>לפי פחת נצבר של הנמכר:</t>
  </si>
  <si>
    <t>לפי רווח ההון (הכנסה):</t>
  </si>
  <si>
    <t>זכות רווח הון</t>
  </si>
  <si>
    <t>כי רווח הון הוא סוג של הכנסה</t>
  </si>
  <si>
    <t>רווח הון (מכירת סלולר)</t>
  </si>
  <si>
    <t>הואיל ולטענת חשב החברה, אין לתעד סכומים כהכנסה כל עוד לא נתקבל תשלום בעדם. שווי השירות שסופק הוא 50,000 ש״ח.</t>
  </si>
  <si>
    <t>הואיל ולטענת חשב החברה, אין לתעד סכומים כהכנסה כל עוד לא נתקבל תשלום בעדם. שווי השירות שסופק 50,000 ש״ח.</t>
  </si>
  <si>
    <t>שימו לב: אין זה משנה אם מדובר בעסקה חד פעמית או לא; בגין עסקאות שבמסגרתן הענקנו</t>
  </si>
  <si>
    <t>שירות במהלך השנה, יש להעניק ביטוי לשווי השירות שסופק כהכנסה.</t>
  </si>
  <si>
    <t>חובה הכנסות לקבל</t>
  </si>
  <si>
    <t>מדוע הכנסה? משום ששווי שירות שמסופק השנה הוא תמיד הכנסה של השנה.</t>
  </si>
  <si>
    <t>מדוע הכנסות לקבל? משום שמדובר בנכס המשקף שווי שירות שסופק ותמורתו טרם נתקבלה.</t>
  </si>
  <si>
    <t>הכנסות לקבל</t>
  </si>
  <si>
    <t>זכות הכנסה אחרת</t>
  </si>
  <si>
    <t>הכנסה אחרת (שירות חד פעמי)</t>
  </si>
  <si>
    <t>הדוחות הכספיים המלאים (יש לערוך רק לאחר כל יתר השלבים האחרים):</t>
  </si>
  <si>
    <t>חברת ״מבודדים כל היום״ - דוח רווח והפסד לשנה שנסתיימה ביום 31.12.2021</t>
  </si>
  <si>
    <t>חברת ״מבודדים כל היום״ - הדוח על המצב הכספי (מאזן) ליום 31.12.2021</t>
  </si>
  <si>
    <t>נכסים שוטפים</t>
  </si>
  <si>
    <t>נכסים לא שוטפים</t>
  </si>
  <si>
    <t>סך הנכסים</t>
  </si>
  <si>
    <t>התחייבויות שוטפות</t>
  </si>
  <si>
    <t>סך ההתחייבויות וההון העצמי</t>
  </si>
  <si>
    <t>מזומן (עו״ש וקופה)</t>
  </si>
  <si>
    <t>הכנסות אחרות</t>
  </si>
  <si>
    <t>נכסים בלתי מוחשיים</t>
  </si>
  <si>
    <t>סה״כ נכסים שוטפים</t>
  </si>
  <si>
    <t>סה״כ נכסים לא שוטפים</t>
  </si>
  <si>
    <t>חייבים (הכנסות לקבל)</t>
  </si>
  <si>
    <t>סה״כ התחייבויות שוטפות</t>
  </si>
  <si>
    <r>
      <t xml:space="preserve">השווי הכספי של פעילות צורכת ערך כלומר שווי שירותים או משאבים שנצרכו </t>
    </r>
    <r>
      <rPr>
        <b/>
        <u/>
        <sz val="12"/>
        <rFont val="David"/>
        <family val="2"/>
        <charset val="177"/>
      </rPr>
      <t>השנה</t>
    </r>
    <r>
      <rPr>
        <sz val="12"/>
        <rFont val="David"/>
        <family val="2"/>
        <charset val="177"/>
      </rPr>
      <t>.</t>
    </r>
  </si>
  <si>
    <r>
      <t xml:space="preserve">השווי הכספי של פעילות יוצרת ערך כלומר שווי עסקאות המכירה או שווי השירות שסיפקה החברה </t>
    </r>
    <r>
      <rPr>
        <b/>
        <u/>
        <sz val="12"/>
        <rFont val="David"/>
        <family val="2"/>
        <charset val="177"/>
      </rPr>
      <t>השנה</t>
    </r>
    <r>
      <rPr>
        <sz val="12"/>
        <rFont val="David"/>
        <family val="2"/>
        <charset val="177"/>
      </rPr>
      <t>.</t>
    </r>
  </si>
  <si>
    <t>זכאים שונים</t>
  </si>
  <si>
    <t>הכנסות ממתן שירות</t>
  </si>
  <si>
    <t>רווח מניירות ערך</t>
  </si>
  <si>
    <t>רווח מעליית נדל״ן</t>
  </si>
  <si>
    <t>הוצאות טלפון</t>
  </si>
  <si>
    <t>הוצאות אחזקה</t>
  </si>
  <si>
    <t>הוצאות רכב</t>
  </si>
  <si>
    <t>שכר טרחת עו״ד</t>
  </si>
  <si>
    <t>עמלות בנק</t>
  </si>
  <si>
    <t>הפסד מירידת ערך</t>
  </si>
  <si>
    <t>דמי ניהול</t>
  </si>
  <si>
    <t>שכר עבודה</t>
  </si>
  <si>
    <t>סיכום ביניים:</t>
  </si>
  <si>
    <t>עד כה הגדרנו 5 קבוצות של סוגי ערכים כספיים שאנו מחויבים להכיר:</t>
  </si>
  <si>
    <t xml:space="preserve">נכסים = המשקפים הטבה צפויה (פריטי רכוש לסוגיהם, לקוחות וכיוצא בזה). </t>
  </si>
  <si>
    <t xml:space="preserve">התחייבויות = המשקפות יציאת הטבה צפויה (פריטי הלוואות לסוגיהן, וכן ספקים וכיוצא בזה). </t>
  </si>
  <si>
    <t xml:space="preserve">הון עצמי = ההפרש בין הנכסים לבין ההתחייבויות (כרגע: הון המניות = השקעת בעלים, ועודפים = רווח מצטבר). </t>
  </si>
  <si>
    <r>
      <t xml:space="preserve">הכנסות = פעילות עסקית יוצרת ערך שבוצעה </t>
    </r>
    <r>
      <rPr>
        <u/>
        <sz val="12"/>
        <rFont val="David"/>
        <family val="2"/>
        <charset val="177"/>
      </rPr>
      <t>השנה</t>
    </r>
    <r>
      <rPr>
        <sz val="12"/>
        <rFont val="David"/>
        <family val="2"/>
        <charset val="177"/>
      </rPr>
      <t xml:space="preserve"> (מתן שירות, מכירות, עליות ערך). </t>
    </r>
  </si>
  <si>
    <r>
      <t xml:space="preserve">הוצאות = פעילות עסקית צורכת ערך שבוצעה </t>
    </r>
    <r>
      <rPr>
        <u/>
        <sz val="12"/>
        <rFont val="David"/>
        <family val="2"/>
        <charset val="177"/>
      </rPr>
      <t>השנה</t>
    </r>
    <r>
      <rPr>
        <sz val="12"/>
        <rFont val="David"/>
        <family val="2"/>
        <charset val="177"/>
      </rPr>
      <t xml:space="preserve"> (צריכת שירות, ירידת ערך).</t>
    </r>
  </si>
  <si>
    <t>הון מניות:</t>
  </si>
  <si>
    <t>זוהי השקעת בעלים. והואיל והשקעת הבעלים איננה מייצרת מחויבות של החברה כלפיו (בשונה מהלוואות או אגרות</t>
  </si>
  <si>
    <t xml:space="preserve">חוב למשל) הרי שמדובר במקור מימון הוני. </t>
  </si>
  <si>
    <t>עודפים (יתרת רווח):</t>
  </si>
  <si>
    <t>מדובר בסיכום הרווחים שנצברו בחברה ממועד הקמתה. מדובר במקור מימון (שמוביל לגידול בנכסים) ואיננו יוצר</t>
  </si>
  <si>
    <t>התחייבות, ולכן, זהו מקור מימון הוני.</t>
  </si>
  <si>
    <t>תרגול עצמי (לא להגשה) לאחר מפגש 1 - מבוא לחשבונאות פיננסית</t>
  </si>
  <si>
    <t>ביום 31 בדצמבר 2022 מסר לעיונכם מנהל החשבונות של חברת ״מקבוקים״ בע״מ את רשימת יתרות כרטיסי החשבון-</t>
  </si>
  <si>
    <t xml:space="preserve">הערכים הכספיים, בחברה זו. זוהי חברה מסחרית העוסקת בשיווק מוצרים שונים, אך איננה מחזיקה מלאי. </t>
  </si>
  <si>
    <t>יתרה כספית
בש״ח</t>
  </si>
  <si>
    <t>קופת מזומן</t>
  </si>
  <si>
    <t>מכונות</t>
  </si>
  <si>
    <t>פיקדון לזמן קצר</t>
  </si>
  <si>
    <t>מבנים</t>
  </si>
  <si>
    <t>זכאים</t>
  </si>
  <si>
    <t>שכר טרחת רואה חשבון</t>
  </si>
  <si>
    <t>פיקדון לזמן ארוך</t>
  </si>
  <si>
    <t>הלוואה לזמן קצר</t>
  </si>
  <si>
    <t>הלוואה לזמן ארוך</t>
  </si>
  <si>
    <t>משיכת יתר (מינוס בבנק)</t>
  </si>
  <si>
    <t>כלי רכב</t>
  </si>
  <si>
    <t>מותגים</t>
  </si>
  <si>
    <t>שמות מסחריים</t>
  </si>
  <si>
    <t>עלות המכירות</t>
  </si>
  <si>
    <t xml:space="preserve">דמי ניהול </t>
  </si>
  <si>
    <t>עמלות הפצה</t>
  </si>
  <si>
    <t>הכנסות ממכירות</t>
  </si>
  <si>
    <t>שכר דירה</t>
  </si>
  <si>
    <t>נדרש - השלימו את הטבלה: סווגו כל אחד מהערכים לנכסים / התחייבויות / הון / הכנסות / הוצאות.</t>
  </si>
  <si>
    <t xml:space="preserve">נסו לבד! הפתרון המלא בהמשך. </t>
  </si>
  <si>
    <t>רענון:</t>
  </si>
  <si>
    <t>השלב הבא הוא לקחת את הסיווג הבסיסי הזה צעד אחד קדימה, ולערוך דוחות כספיים מלאים על בסיס היתרות</t>
  </si>
  <si>
    <t>את הזהות בין הנכסים לבין ההתחייבויות וההון, וכולל, כמובן, בנייה מלאה של כלל הדיווח.</t>
  </si>
  <si>
    <t>ומה מטרת המפגש הנוכחי, אם כך?</t>
  </si>
  <si>
    <t>נתחיל בהצגה בסיסית של מבנה הדוחות הכספיים:</t>
  </si>
  <si>
    <t>הסעיפים (סוגי הפירוטים) הנכללים בדוח, לפיכך, צריכים להיות מתואמים עם פעילות החברה. כך למשל,</t>
  </si>
  <si>
    <t>אין זה הגיוני לטעון שיש להציג סעיף ״מכירות״ בדוח רווח והפסד של חברה שמעניקה שירותים ואיננה מבצעת</t>
  </si>
  <si>
    <t xml:space="preserve">מכירות כלל. </t>
  </si>
  <si>
    <t>הוצאות / הכנסות אחרות</t>
  </si>
  <si>
    <t>רווח תפעולי</t>
  </si>
  <si>
    <t>רווח לפני מסים על ההכנסה</t>
  </si>
  <si>
    <t>מסים על ההכנסה</t>
  </si>
  <si>
    <t>רווח נקי</t>
  </si>
  <si>
    <t>מכירות המוצרים העיקריים שבמכירתם החברה עוסקת בשוטף</t>
  </si>
  <si>
    <t>עלות המוצרים שנמכרו (ללא עלויות נלוות שיופיעו בסעיפים הבאים)</t>
  </si>
  <si>
    <t>ההפרש בין המכירות לבין עלות המכירות</t>
  </si>
  <si>
    <t>הוצאות פרסום, שיווק וגם עלויות הכרוכות בהפצת המוצר וניהול סניפים</t>
  </si>
  <si>
    <t>כל ההוצאות שאין להן שיוך ספציפי: חשמל, טלפון, אחזקה ועוד</t>
  </si>
  <si>
    <t>ההפרש בין הרווח הגולמי להוצ׳ מכירה ושיווק, הנהלה וכלליות ואחרות</t>
  </si>
  <si>
    <t>עלויות ריבית, עמלות בנק ועלויות פיננסיות דומות</t>
  </si>
  <si>
    <t>הכנסות ריבית, רווחים פיננסיים כגון מניירות ערך</t>
  </si>
  <si>
    <t>רווח תפעולי בניכוי הוצאות מימון בתוספת הכנסות מימון</t>
  </si>
  <si>
    <t>אין צורך להסביר. כולנו מכירים לצערנו</t>
  </si>
  <si>
    <t>רווח לפני מסים על ההכנסה בניכוי מסים על ההכנסה</t>
  </si>
  <si>
    <t xml:space="preserve">כמובן, הסבר מלא ומפורט יותר נעניק על בסיס תרגולים בנושא. לעת עתה, נסתפק בכך. </t>
  </si>
  <si>
    <t>סך הנכסים השוטפים</t>
  </si>
  <si>
    <t>התחייבויות לא שוטפות</t>
  </si>
  <si>
    <t>אגרות חוב</t>
  </si>
  <si>
    <t>המבנה הבסיסי של הדוח על המצב הכספי הוא כדלקמן (ייתכנו ערכים נוספים יש לשפוט על פי מהות):</t>
  </si>
  <si>
    <t>נעבור מיד לתרגול מתבקש:</t>
  </si>
  <si>
    <t>חברת ״פינוקיו המשודרג״ בע״מ היא חברה מסחרית העוסקת בשיווק מוצרי עץ להרכבה עצמית. החברה איננה</t>
  </si>
  <si>
    <t>נוהגת להחזיק במלאי.</t>
  </si>
  <si>
    <t>קופת מזומן - סניף המכירות</t>
  </si>
  <si>
    <t>קופת מזומן - הנהלה</t>
  </si>
  <si>
    <t>הוצאות פרסום - שילוט חוצות</t>
  </si>
  <si>
    <t>הוצאות פרסום - דיוור ישיר</t>
  </si>
  <si>
    <t>הוצאות שכר ומשכורות - שיווק</t>
  </si>
  <si>
    <t>הוצאות שכר ומשכורות - הנהלה</t>
  </si>
  <si>
    <t>ציוד</t>
  </si>
  <si>
    <t>ריהוט - משרד המנכ״ל</t>
  </si>
  <si>
    <t>הון עצמי ליום 1.1.2020</t>
  </si>
  <si>
    <t>משיכת יתר (אוברדראפט)</t>
  </si>
  <si>
    <t>זכאים אחרים</t>
  </si>
  <si>
    <t>א. מיינו את רשימת הכרטיסים לנכסים / התחייבויות / הון / הכנסות / הוצאות.</t>
  </si>
  <si>
    <t xml:space="preserve">ב. חלצו את ההון העצמי ליום 1.1.2020. </t>
  </si>
  <si>
    <t xml:space="preserve">ג. ערכו את הדוח על המצב הכספי (מאזן) ואת דוח רווח והפסד לשנת 2020. </t>
  </si>
  <si>
    <t xml:space="preserve">שיקים (המחאות) לקבל </t>
  </si>
  <si>
    <t>שיקים (המחאות) לפירעון</t>
  </si>
  <si>
    <t>עמלת סוכני מכירות</t>
  </si>
  <si>
    <t>שאלה 1 - מיון כרטיסים</t>
  </si>
  <si>
    <t>מס׳ שיעור</t>
  </si>
  <si>
    <t>נושא</t>
  </si>
  <si>
    <t>חומרים נוספים</t>
  </si>
  <si>
    <t>תכנית שיעורים מפורטת</t>
  </si>
  <si>
    <t>פתרון השאלה (נפתור יחד)</t>
  </si>
  <si>
    <t>להלן יתרות כרטיסי חשבון רלוונטיים, כולם מעודכנים ליום 31.12.2020 אלא אם נאמר מפורשות אחרת:</t>
  </si>
  <si>
    <t>מכירה ושיווק</t>
  </si>
  <si>
    <t>הון עצמי 1.1</t>
  </si>
  <si>
    <t>שאלה בסיסית: האם ניתן לחלץ את ההון העצמי ל-1.1?</t>
  </si>
  <si>
    <t>אנו יודעים:</t>
  </si>
  <si>
    <t>בפיתוח:</t>
  </si>
  <si>
    <t>בפיתוח המשך:</t>
  </si>
  <si>
    <r>
      <t xml:space="preserve">נכסים = התחייבויות + </t>
    </r>
    <r>
      <rPr>
        <sz val="12"/>
        <color rgb="FFFF0000"/>
        <rFont val="David"/>
        <family val="2"/>
        <charset val="177"/>
      </rPr>
      <t xml:space="preserve">הון עצמי 1.1 + </t>
    </r>
    <r>
      <rPr>
        <u/>
        <sz val="12"/>
        <color rgb="FFFF0000"/>
        <rFont val="David"/>
        <family val="2"/>
        <charset val="177"/>
      </rPr>
      <t>רווח השנה</t>
    </r>
  </si>
  <si>
    <r>
      <t xml:space="preserve">נכסים = התחייבויות + </t>
    </r>
    <r>
      <rPr>
        <sz val="12"/>
        <color rgb="FFFF0000"/>
        <rFont val="David"/>
        <family val="2"/>
        <charset val="177"/>
      </rPr>
      <t xml:space="preserve">הון עצמי 1.1 + </t>
    </r>
    <r>
      <rPr>
        <u/>
        <sz val="12"/>
        <color rgb="FFFF0000"/>
        <rFont val="David"/>
        <family val="2"/>
        <charset val="177"/>
      </rPr>
      <t>(הכנסות - הוצאות)</t>
    </r>
  </si>
  <si>
    <t>הוצאות + נכסים = התחייבויות + הון עצמי 1.1 + הכנסות</t>
  </si>
  <si>
    <t>נציב נתוני השאלה:</t>
  </si>
  <si>
    <t>x</t>
  </si>
  <si>
    <t>המשוואה:</t>
  </si>
  <si>
    <t>836,000 + x + 260,000 = 1,851,000 + 442,000</t>
  </si>
  <si>
    <t>וההון העצמי המחולץ ליום 1.1.2020 הוא:</t>
  </si>
  <si>
    <t>וכעת: עריכת דוחות כספיים מלאים - דוח רווח והפסד:</t>
  </si>
  <si>
    <t>ביאורים = פירוטים בדבר ההרכב ו/או המשמעות של סעיפים שונים בדוחות.</t>
  </si>
  <si>
    <t>משקף את סך ההכנסות ממכירות המוצרים העיקריים בחברה.</t>
  </si>
  <si>
    <t>ההרכב:</t>
  </si>
  <si>
    <t>מכירות ״ברוטו״</t>
  </si>
  <si>
    <t>בניכוי הנחות מסחריות ללקוחות</t>
  </si>
  <si>
    <t>מכירות ״נטו״ לצורך הצגה ברווח והפסד</t>
  </si>
  <si>
    <t>במקרה שלנו: אין נתונים על מכירות ברוטו / הנחות וכו׳, אלא סכום המכירות נטו נתון.</t>
  </si>
  <si>
    <t>למשל, אם היה נתון:</t>
  </si>
  <si>
    <t>מכירות, ברוטו</t>
  </si>
  <si>
    <t>אז היינו מחשבים את המכירות נטו כך:</t>
  </si>
  <si>
    <t xml:space="preserve">כל העלויות שקשורות לפרסום המוצר, הפצתו ושיווקו. </t>
  </si>
  <si>
    <t>הוצאות פרסום - שיווק ישיר</t>
  </si>
  <si>
    <t xml:space="preserve">הוצאות שכר ומשכורות - שיווק </t>
  </si>
  <si>
    <t>זוהי ברירת המחדל לכל ההוצאות שאינן כלולות בעלות המכר / מימון.</t>
  </si>
  <si>
    <t>מדובר בפריטי הכנסה חריגים, כאלו שמתרחשים לעתים רחוקות יחסית, ואינם חלק מליבת העיסוק</t>
  </si>
  <si>
    <t xml:space="preserve">של החברה. כאן, מדובר ברווח הון ממכירת רכוש קבוע (כגון מכירת רכב מנכ״ל). </t>
  </si>
  <si>
    <t>דוגמאות נוספות תכלולנה: רווח ממכירת מבנים / נדל״ן להשקעה, רווח מדמי שכירות, הכנסה חד פעמית</t>
  </si>
  <si>
    <t>מייעוץ בחברה מסחרית.</t>
  </si>
  <si>
    <t>הכנסות מימון:</t>
  </si>
  <si>
    <t>נערוך כעת את הדוח על המצב הכספי - המאזן - ל-31.12.2020:</t>
  </si>
  <si>
    <t>התחייבויות וההון העצמי</t>
  </si>
  <si>
    <t>מזומן (כלל הקופות ועו״ש)</t>
  </si>
  <si>
    <t>לקוחות (כולל שיקים לקבל)</t>
  </si>
  <si>
    <t>מדובר בסעיף הכלול בנכסים הלא שוטפים, והוא מהווה את הסיכום של כלל הנכסים המוחשיים ארוכי הטווח בחברה.</t>
  </si>
  <si>
    <t>כגון: מכונות, ציוד, כלי רכב, מבנים, ריהוט, מחשבים וכיו״ב.</t>
  </si>
  <si>
    <t>במקרה שלנו:</t>
  </si>
  <si>
    <t>נכסים לא שוטפים שאינם פיזיים. דוגמאות נפוצות: פטנטים (ידע), זיכיון (זכות שימוש במותג), שמות מסחריים וכיוצא</t>
  </si>
  <si>
    <t>בזה. בשאלה הנדונה, מדובר בפטנטים בלבד:</t>
  </si>
  <si>
    <t>אשראי לזמן קצר:</t>
  </si>
  <si>
    <t xml:space="preserve">במהות, הלוואות לזמן קצר ומשיכת יתר (מינוס בבנק) הם סוגי אשראי מאד דומים. </t>
  </si>
  <si>
    <t xml:space="preserve">לכן, לטובת הצגה תמציתית לקורא הדוח, מקובל לאחד ביניהם. </t>
  </si>
  <si>
    <t>ספקים (כולל שיקים לפירעון)</t>
  </si>
  <si>
    <t>1,197,000 +</t>
  </si>
  <si>
    <t>רווח נקי השנה</t>
  </si>
  <si>
    <t>מדוח</t>
  </si>
  <si>
    <t>עודפים (רווחים היסטוריים שנצברו)</t>
  </si>
  <si>
    <t>הון מניות ופרמיה (השקעת בעלים)</t>
  </si>
  <si>
    <t>הסברים והגדרות נוספות לשאלה 4 מחוברת התרגילים - יונית</t>
  </si>
  <si>
    <t>פחת נצבר כלי רכב:</t>
  </si>
  <si>
    <t xml:space="preserve">באופן כללי, ״כלי רכב״ מהווים נכס. </t>
  </si>
  <si>
    <t>אבל אין ספק גם שכאשר משתמשים בכלי הרכב (או באופן כללי, בפריט רכוש קבוע) תקופה ממושכת,</t>
  </si>
  <si>
    <t>הוא נשחק, מתבלה, וערכו קטן.</t>
  </si>
  <si>
    <t>הדרך שבה נתייחס לקיטון בערך / סכום השחיקה (בלאי) = פחת נצבר.</t>
  </si>
  <si>
    <t xml:space="preserve">למשל: למאי יש מכונית שעלתה לה 50,000 ש״ח. </t>
  </si>
  <si>
    <t>נכון ליום 31.12.2020 הפחת הנצבר בגין המכונית: 20,000 ש״ח.</t>
  </si>
  <si>
    <t>כיצד תוצג המכונית?</t>
  </si>
  <si>
    <t>בטבלת הסיווגים:</t>
  </si>
  <si>
    <t>מכונית</t>
  </si>
  <si>
    <t>יתרות</t>
  </si>
  <si>
    <t>הון</t>
  </si>
  <si>
    <t>בדוח על המצב הכספי - רכוש קבוע לפי עלות בניכוי פחת נצבר:</t>
  </si>
  <si>
    <t xml:space="preserve">50,000 - 20,000 = </t>
  </si>
  <si>
    <t>עלות המכירות - הגדרה מלאה על בסיס רכיבים</t>
  </si>
  <si>
    <t>בתרגיל שפתרנו בכיתה - עלות המכר היתה נתונה.</t>
  </si>
  <si>
    <t>בתרגיל יונית היא לא נתונה, ויש לחשבה על בסיס רכיביה המפורטים, כדלקמן:</t>
  </si>
  <si>
    <t>מלאי פתיחה 1.1</t>
  </si>
  <si>
    <t>מלאי סגירה 31.12</t>
  </si>
  <si>
    <t>בשאלת יונית ספציפית אין עלות כזו</t>
  </si>
  <si>
    <t>בשאלת יונית</t>
  </si>
  <si>
    <t>הנחות מסחריות מספקים/שהתקבלו</t>
  </si>
  <si>
    <t>בהתאם לנתון 2 בשאלת יונית</t>
  </si>
  <si>
    <t xml:space="preserve">הוצאות בגין שחיקה של פריט רכוש קבוע, ספציפית, השנה. </t>
  </si>
  <si>
    <t>אלא אם נאמר אחרת - נשייך להנהלה וכלליות.</t>
  </si>
  <si>
    <t>סוגיית ההנחות - פירוט מלא של אופן ההתייחסות</t>
  </si>
  <si>
    <t>הנחות מסחריות מספקים / שהתקבלו</t>
  </si>
  <si>
    <t>הנחות מסחריות ללקוחות / שניתנו</t>
  </si>
  <si>
    <t>הנחות מזומן ללקוחות / שניתנו</t>
  </si>
  <si>
    <t>הנחות מזומן מספקים / שהתקבלו</t>
  </si>
  <si>
    <t>קיטון בהוצאות</t>
  </si>
  <si>
    <t>קיטון בהכנסות</t>
  </si>
  <si>
    <t>רווח הון (ממכירת רכוש קבוע)</t>
  </si>
  <si>
    <t>תרגול נוסף לתרגול עצמי (לא להגשה) - מבוא לחשבונאות פיננסית - לאחר הרצאה 2</t>
  </si>
  <si>
    <t>שכר טרחת עורך דין</t>
  </si>
  <si>
    <t>הנחות מזומן לספקים / שהתקבלו</t>
  </si>
  <si>
    <t>הנחות מסחריות מספקים (שהתקבלו)</t>
  </si>
  <si>
    <t>פחת נצבר כלי רכב</t>
  </si>
  <si>
    <t>מלאי פתיחה ליום 1.1</t>
  </si>
  <si>
    <t>מלאי סגירה ליום 31.12</t>
  </si>
  <si>
    <t>טיפים:</t>
  </si>
  <si>
    <t xml:space="preserve">חלק גדול מהמושגים לעיל מוגדרים בשאלת יונית. לאחר התרגול יהיה לכם קל יותר להתמודד עמם. </t>
  </si>
  <si>
    <t>בינתיים, הוספתי לכם לגיליון 2 - יונית, התייחסות למושגים עיקריים אלו.</t>
  </si>
  <si>
    <t>כמובן, בשלב זה אין להעמיק בנושאים אלו, אלא רק לדעת עקרונית את הגדרתם. ההעמקה בהם תבוצע במסגרת הדיון בנושאים הבאים.</t>
  </si>
  <si>
    <t>עודפים ל- 1.1</t>
  </si>
  <si>
    <t>הנחת מזומן שהתקבלה היא כעין ריבית על הקדמת תשלום, לכן סוג של הכנסת מימון</t>
  </si>
  <si>
    <t>הנהלה וכלליות</t>
  </si>
  <si>
    <t xml:space="preserve">הנחת מסחרית מספק למעשה מקטינה את סכום הקניה / ההוצאה, לכן מסווגת בעמודת ההוצאות בסימן שלילי (מקטינה את סעיף ההוצאות ״עלות המכר״). </t>
  </si>
  <si>
    <t xml:space="preserve">פחת נצבר משקף שחיקה / קיטון מצטבר בערכו של נכס. כלומר, שווי הנכס לצורך הצגה במאזן ייקבע לפי העלות (״כלי רכב״) בניכוי הפחת הנצבר (״פחת נצבר כלי רכב״) </t>
  </si>
  <si>
    <t>הנחה מסחרית ללקוח למעשה מקטינה את סכום המכירה. לכן מסווגת לעמודת ההכנסות (בדומה למכירות) אך ךבסימן שלילי</t>
  </si>
  <si>
    <t>חלק מעלות המכירות</t>
  </si>
  <si>
    <t>מדובר במעין ריבית על הקדמת עיתוי קבלת הכסף מלקוח, לכן כעין הוצאות מימון</t>
  </si>
  <si>
    <t>הכנסות חריגות משירות</t>
  </si>
  <si>
    <t>בדוח על המצב הכספי (המאזן) מלאי הוא נכס כמובן, אך במקביל הוא מקטין את עלות המכירות לפי ההגדרה. זהו הסעיף היחיד שנזקף לשני מקומות</t>
  </si>
  <si>
    <t>מאותה הסיבה, אין כל חובה לערוך דוח מלא מורכב על בסיס כל היתרות הללו. את השילובים נבצע בהמשך, כרגע רק להכיר את ההגדרות זה מספיק,</t>
  </si>
  <si>
    <t xml:space="preserve">לצד, כמובן תרגילי התרגול ותרגיל הכיתה שהם מעט יותר פשוטים. </t>
  </si>
  <si>
    <t>ביום 31 בדצמבר 2022 מסר לעיונכם מנהל החשבונות של חברת ״פנטומימים״ בע״מ את רשימת יתרות כרטיסי החשבון-</t>
  </si>
  <si>
    <t>הערכים הכספיים, בחברה זו. זוהי חברה מסחרית העוסקת בשיווק מוצרים שונים.</t>
  </si>
  <si>
    <t>הערה מצויינת שניתנה על ידי שילת שתיקנה טעות שלי בסיווג:</t>
  </si>
  <si>
    <t>שכר דירה = אם לא נאמר, זו הוצאה.</t>
  </si>
  <si>
    <t xml:space="preserve">זו תהיה הכנסה, רק בליווי כגון ״הכנסות שכר דירה״. </t>
  </si>
  <si>
    <t xml:space="preserve">עד כה - עסקנו בעריכת דיווחים כספיים - כאשר היתרות הכספיות (הערכים הכספיים מכל סוג) היו נתונות. </t>
  </si>
  <si>
    <t>כלומר, קיבלנו רשימה, וכל מה שהיינו צריכים לעשות זה לסווג (לשייך) את רכיבי הרשימה לדוחות השונים.</t>
  </si>
  <si>
    <t>כמובן שחלק מההבנה המלאה של המידע החשבונאי עוסקת לא רק בסיווג ושיוך - אלא גם בתיעוד עסקאות ספציפיות,</t>
  </si>
  <si>
    <t xml:space="preserve">על כלל ההיבטים שלהן. </t>
  </si>
  <si>
    <t xml:space="preserve">כל אירוע כלכלי בחברה, שעה שעה, יום יום, צריך לקבל ביטוי באופן מפורש וספציפי כדי לבטא את מכלול ההשפעות </t>
  </si>
  <si>
    <t xml:space="preserve">שנוצרו כתוצאה ממנו. </t>
  </si>
  <si>
    <t xml:space="preserve">הרישום איננו ״מתמטי״ טהור אלא מתבסס על טכניקה רישומית שנקראת ״פקודות יומן״ - Journal Entries. </t>
  </si>
  <si>
    <t xml:space="preserve">הרישום יבוצע מנקודת ראות החברה, ולחלק מכם ירגיש ״הפוך מההיגיון״. נדבר על זה, נדגים. </t>
  </si>
  <si>
    <t>שלבי למידה בנושא פקודות יומן:</t>
  </si>
  <si>
    <t>שלב 1: הצגה מתמטית של כל עסקה לפי המשוואה: נכסים = התחייבויות + הון עצמי</t>
  </si>
  <si>
    <t>שלב 2: המרה של הרישום המתמטי / טבלאי לפקודות יומן לפי ההגדרות המתאימות</t>
  </si>
  <si>
    <r>
      <t xml:space="preserve">הדרך לתת ביטוי לעסקאות אלו חייבת לשמור על הזהות: </t>
    </r>
    <r>
      <rPr>
        <b/>
        <sz val="12"/>
        <color theme="1"/>
        <rFont val="David"/>
        <family val="2"/>
        <charset val="177"/>
      </rPr>
      <t>נכסים = התחייבויות + הון עצמי</t>
    </r>
    <r>
      <rPr>
        <sz val="12"/>
        <color theme="1"/>
        <rFont val="David"/>
        <family val="2"/>
        <charset val="177"/>
      </rPr>
      <t xml:space="preserve">. </t>
    </r>
  </si>
  <si>
    <r>
      <rPr>
        <b/>
        <sz val="12"/>
        <rFont val="David"/>
        <family val="2"/>
        <charset val="177"/>
      </rPr>
      <t>ג.</t>
    </r>
    <r>
      <rPr>
        <sz val="12"/>
        <rFont val="David"/>
        <family val="2"/>
        <charset val="177"/>
      </rPr>
      <t xml:space="preserve"> חובה הוצאות ריבית 3,000</t>
    </r>
  </si>
  <si>
    <t>נעבור לנושא העיקרי (השיעור הכיתתי בפועל החל מכאן) - תיעוד חשבונאי בסיסי (פקודות יומן)</t>
  </si>
  <si>
    <t>מפגש מס׳ 3 - תרגול נוסף של פקודות יומן ותוספת קטנטנה - ריכוז הפקודות ליתרות</t>
  </si>
  <si>
    <t>מבוא לחשבונאות פיננסית - שיעור מס׳ 4</t>
  </si>
  <si>
    <t xml:space="preserve">חברת שקד סיפקה שירותים במסגרת פרויקט מתמשך לאקדמית עמק יזרעאל. </t>
  </si>
  <si>
    <t>להלן נתונים בדבר סכומי התקבול במזומן בכל שנה, לצד שווי השירות ששקד סיפקה בכל אחת מהשנים:</t>
  </si>
  <si>
    <t>שירות</t>
  </si>
  <si>
    <t>לשנה</t>
  </si>
  <si>
    <t>בש״ח</t>
  </si>
  <si>
    <t>תקבול</t>
  </si>
  <si>
    <t>נדרש: הציגו בטבלה את: פקודת היומן של הנה״ח, סך ההכנסה השנתית ברווח והפסד, פקודת התאמה, יתרת חתך.</t>
  </si>
  <si>
    <t>הנה״ח (פקודה)</t>
  </si>
  <si>
    <t>לשם נוחות - ארשום את הערכים באלפי ש״ח:</t>
  </si>
  <si>
    <t>הכנסה (בדוח)</t>
  </si>
  <si>
    <t>אין תשלום
אין רישום</t>
  </si>
  <si>
    <t>שאלה נוספת להיום</t>
  </si>
  <si>
    <t>https://youtu.be/WBmwt2wrMco</t>
  </si>
  <si>
    <t>סרטון לתרגול נוסף</t>
  </si>
  <si>
    <t>ח׳ מזומן</t>
  </si>
  <si>
    <t>ז׳ הכנסה</t>
  </si>
  <si>
    <t>ח׳ הכנסות לקבל 150,000</t>
  </si>
  <si>
    <t>ז׳ הכנסה 150,000</t>
  </si>
  <si>
    <t>ח׳ הכנסה 300,000</t>
  </si>
  <si>
    <t>ז׳ הכנסות לקבל 150,000</t>
  </si>
  <si>
    <t>ז׳ הכנסות מראש 150,000</t>
  </si>
  <si>
    <t>ח׳ הכנסות מראש 100,000</t>
  </si>
  <si>
    <t>ז׳ הכנסות 100,000</t>
  </si>
  <si>
    <t>ח׳ הכנסות מראש 50,000</t>
  </si>
  <si>
    <t>ז׳ הכנסות לקבל 250,000</t>
  </si>
  <si>
    <t>ח׳ הכנסות לקבל 250,000</t>
  </si>
  <si>
    <t>ז׳ הכנסות 300,000</t>
  </si>
  <si>
    <t>ח׳ הכנסות 250,000</t>
  </si>
  <si>
    <t>שאלה נוספת  לבית (מצורף במצב כזה פתרון)</t>
  </si>
  <si>
    <t>מבוא לחשבונאות פיננסית - שיעור מס׳ 5</t>
  </si>
  <si>
    <t xml:space="preserve">הכנסות מראש: </t>
  </si>
  <si>
    <t>הנהלת חשבונות:</t>
  </si>
  <si>
    <t>רישום הכנסה על בסיס מזומן (אסמכתא)</t>
  </si>
  <si>
    <t>דיווח סופי ברווח והפסד:</t>
  </si>
  <si>
    <t>לפי שווי השירות שסופק.</t>
  </si>
  <si>
    <t>פקודת התאמה:</t>
  </si>
  <si>
    <t>פקודה לתיקון / התאמת פקודת הנהלת החשבונות לדיווח הסופי ברווח והפסד.</t>
  </si>
  <si>
    <t>חשבון המייצג התחייבות, הפרש מצטבר חיובי בין סך התקבולים לבין סך השירות שסיפקה החברה</t>
  </si>
  <si>
    <t>הכנסות לקבל:</t>
  </si>
  <si>
    <t>חשבון המייצג נכס, הפרש מצטבר חיובי בין סך השירות שסופק לסך התקבולים מהלקוח</t>
  </si>
  <si>
    <t>אז מה בתפריט היום?</t>
  </si>
  <si>
    <t>הוצאות מראש:</t>
  </si>
  <si>
    <t>חשבון המייצג נכס, הפרש מצטבר חיובי בין סך התשלומים לבין סך שווי השירות שנצרך</t>
  </si>
  <si>
    <t>הוצאות לשלם:</t>
  </si>
  <si>
    <t>חשבון המייצג התחייבות, הפרש מצטבר חיובי בין סך השירות שנצרך לבין סך התשלומים</t>
  </si>
  <si>
    <t>ב. פתרון במגוון טכניקות של שאלות חתך מורכבות יותר בכל ההקשרים הרלוונטיים.</t>
  </si>
  <si>
    <t>שירות שנצרך</t>
  </si>
  <si>
    <t>ע״י בולגיטו</t>
  </si>
  <si>
    <t>הוצאה</t>
  </si>
  <si>
    <t>חברת ״חוניטו״ עוסקת בייעוץ להטמעת מערכות חימום נקניק בעסקים. להלן נתונים בדבר שווי שירותי ייעוץ</t>
  </si>
  <si>
    <t>ע״י חוניטו</t>
  </si>
  <si>
    <t>ע״י חוניטו לספק</t>
  </si>
  <si>
    <t>פקודה להוצאה</t>
  </si>
  <si>
    <t>להלן מספר אירועים שקשורים להכנסות ולהוצאות חברת ״נקניקים במים״ העוסקת בתחזוקת בריכות שחייה, בשנת</t>
  </si>
  <si>
    <t>א. ב-1 בינואר 2022 חתמה החברה על הסכם לצריכת שירותים בסכום כולל של 600,000 ש״ח וזאת במשך 3 שנים</t>
  </si>
  <si>
    <t>החל ממועד החתימה על ההסכם. תמורת ההסכם הכוללת שולמה במועד החתימה, בסכום של 600,000 ש״ח במזומן</t>
  </si>
  <si>
    <t>באופן מיידי.</t>
  </si>
  <si>
    <t xml:space="preserve">הדיווח 2022. בגין כל אירוע, יש לרשום פקודת הנהלת חשבונות, לרשום פקודת חתך, להציג את הערך שידווח </t>
  </si>
  <si>
    <t>התייחסות:</t>
  </si>
  <si>
    <t xml:space="preserve">ב. החברה משלמת שכר לעובדים ב-10 לכל חודש עוקב למועד ביצוע העבודה. שכר חודש דצמבר 2022 צפוי </t>
  </si>
  <si>
    <r>
      <t xml:space="preserve">ברווח והפסד וכן להציג את יתרת הסגירה של חשבון החתך הרלוונטי </t>
    </r>
    <r>
      <rPr>
        <b/>
        <sz val="12"/>
        <color theme="1"/>
        <rFont val="David"/>
        <family val="2"/>
        <charset val="177"/>
      </rPr>
      <t>והכל עבור שנת 2022 בלבד</t>
    </r>
    <r>
      <rPr>
        <sz val="12"/>
        <color theme="1"/>
        <rFont val="David"/>
        <family val="2"/>
        <charset val="177"/>
      </rPr>
      <t>.</t>
    </r>
  </si>
  <si>
    <t xml:space="preserve">להיות משולם על ידי החברה ב-10 בינואר 2023, בסכום של 90,000 ש״ח. הנהלת החשבונות טרם ביצעה רישום כלשהו </t>
  </si>
  <si>
    <t>של הוצאות השכר עבור חודש דצמבר 2022 אך כן ביצעה רישום תשלומי שכר במזומן בסכום כולל של 700,000 ש״ח</t>
  </si>
  <si>
    <t xml:space="preserve">עבור חודשי השנה ינואר-נובמבר 2022. </t>
  </si>
  <si>
    <t>התמורה התקבלה במלואה במועד החתימה, ועד לתום שנת הדיווח 2022 השלימה החברה 90% מהפרויקט.</t>
  </si>
  <si>
    <t>ד. החברה שילמה לספק שירותי חימום נקניק סכום של 120,000 ש״ח עבור שירותים לטווח התאריכים שבין</t>
  </si>
  <si>
    <t xml:space="preserve">ה-1.1.2020 עד 31.12.2023. התשלום בוצע ב-1.1.2020 (הדרכה: חשבו מהי יתרת החתך ליום 31.12.2021. </t>
  </si>
  <si>
    <t xml:space="preserve">בהתאם חשבו כיצד להמשיך כדי לתעד עבור שנת 2022). </t>
  </si>
  <si>
    <t>אחת מהשנים בהתאם לסיכום עם הספק:</t>
  </si>
  <si>
    <t>שאלה 3 - התייחסות לחתך כשהנתונים הם בצורה של אירועים / מילוליים</t>
  </si>
  <si>
    <t>בשלב ראשון (לא חובה), אפשר להמיר את הנתון המילולי לטבלת נתונים כמקובל אצלנו:</t>
  </si>
  <si>
    <t>ע״י ״נקניקים״</t>
  </si>
  <si>
    <t>ע״י ״נקניקים״ לספק</t>
  </si>
  <si>
    <t>ח׳ הוצאות 600
ז׳ מזומן 600</t>
  </si>
  <si>
    <t>התייחסות - 2022 (השנה הנדרשת בשאלה) - לשם נוחות, הערכים באלפי ש״ח:</t>
  </si>
  <si>
    <t>ח׳ הוצאות מראש 400
ז׳ הוצאות 400</t>
  </si>
  <si>
    <t>הצעה: להמיר את הנתונים המילוליים המסורבלים לטבלה המוכרת:</t>
  </si>
  <si>
    <t>הסכום ששולם במזומן בסך 700 אלפי ש״ח - נתון בשאלה. יחד עם זאת, השירות שנצרך בפועל כולל את שירותי העבודה</t>
  </si>
  <si>
    <t>עד וכולל דצמבר. הואיל ושכר דצמבר לא שולם, הוא איננו כלול ב-700 הנתונים, כך שסך שווי השירות שנצרך יכלול</t>
  </si>
  <si>
    <t>את שכר ינואר-נובמבר (700) בתוספת שווי השכר של דצמבר (90) ובסך הכל 790.</t>
  </si>
  <si>
    <t>ח׳ הוצאות 700
ז׳ מזומן 700</t>
  </si>
  <si>
    <t>סכום המזומן</t>
  </si>
  <si>
    <t>סך שווי השירות</t>
  </si>
  <si>
    <t xml:space="preserve">90% * 800,000 = </t>
  </si>
  <si>
    <t>טיפ: כאשר מעניקים לנו נתוני שווי כולל של חוזה, ומספקים מידע בדבר השלמת אחוז מסויים מהחוזה בתקופת</t>
  </si>
  <si>
    <t>הדיווח, אזי נסיק ששווי השירות שסופק באותה שנה - הוא המכפלה הפשוטה של אחוז השירות בסך שווי החוזה.</t>
  </si>
  <si>
    <t>ח׳ מזומן 800
ז׳ הכנסה 800</t>
  </si>
  <si>
    <t>הכנסות מראש (התחייבות) 80</t>
  </si>
  <si>
    <t>ח׳ הוצאה 120
ז׳ מזומן 120</t>
  </si>
  <si>
    <t>הוצאות מראש (נכס) 30</t>
  </si>
  <si>
    <t>כאשר מדובר בהסכם לתקופה של 3 שנים, ברירת המחדל היא להניח שהשירות מתפלג באופן אחיד על פני 3 השנים</t>
  </si>
  <si>
    <t xml:space="preserve">כלומר: שווי השירות לשנה כאן יהיה 200,000 = 3 / 600,000. </t>
  </si>
  <si>
    <t>90% * 800,000 = 720,000</t>
  </si>
  <si>
    <t>אירוע 1: תחילה נתרגם אותו לטבלה המקובלת:</t>
  </si>
  <si>
    <t>ח׳ הוצאות 45
ז׳ מזומן 45</t>
  </si>
  <si>
    <t>הוצאות מראש (נכס) 33.75</t>
  </si>
  <si>
    <t>ח׳ הוצאות מראש 37.5
ז׳ הוצאות 33.75</t>
  </si>
  <si>
    <t>שימו לב, השירות החל ב-1.4.2010. לכן, למרות שהעלות השנתית</t>
  </si>
  <si>
    <t xml:space="preserve">היא 15,000 לפי 45,000/3, הרי שיש לכפול ערך זה ב-9/12 </t>
  </si>
  <si>
    <t>כדי להגיע לעלות הצריכה הספציפית ב-2010: 11,250 = 9/12 * 15,000</t>
  </si>
  <si>
    <t>אירוע 2: תחילה נתרגם לטבלה המקובלת</t>
  </si>
  <si>
    <t>ח׳ הוצאות 10
ז׳ מזומן 10</t>
  </si>
  <si>
    <t>הוצאות מראש (נכס) 5</t>
  </si>
  <si>
    <t>ח׳ הוצאות מראש 5
ז׳ הוצאות 5</t>
  </si>
  <si>
    <t xml:space="preserve">טיפ: לפני שניגשים לתרגיל זה יש לפתור את שאלה 3 מהרצאה 5 במלואה שבנויה בצורה דומה מאד מבחינת </t>
  </si>
  <si>
    <t>ניסוח הסעיפים. להלן יוצג לבקשתכם פתרון מפורט לחלק מהסעיפים בצורת ההצגה הכיתתית.</t>
  </si>
  <si>
    <t>לגבי הוצאות הלח״מ ב-2021, התהליך הוא כזה:</t>
  </si>
  <si>
    <t>יצאנו ב-31.12.2020 מיתרת הלח״מ של 8,000.</t>
  </si>
  <si>
    <t>במהלך 2021, רשמנו חוב אבוד שהקטין את יתרת ההלח״מ ב-2,000.</t>
  </si>
  <si>
    <t>כך הגענו ליתרת הלח״מ של 6,000.</t>
  </si>
  <si>
    <t xml:space="preserve">הוצאות ההלח״מ שתרשמנה - צריכות להשלים סכום זה </t>
  </si>
  <si>
    <t>ליתרת הסגירה של ההלח״מ 71,700.</t>
  </si>
  <si>
    <t xml:space="preserve">71,700 - 6,000 = </t>
  </si>
  <si>
    <t>הסברים נוספים:</t>
  </si>
  <si>
    <t>הסבר: העלות במזומן 10,000, מחצית על 2010 זה אומר ששווי השירות ב-2010 הוא 5,000.</t>
  </si>
  <si>
    <t xml:space="preserve">לכן ההוצאה ברווח והפסד ב-2010 היא 5,000. </t>
  </si>
  <si>
    <t>כמובן שהואיל ושילמנו מראש, יווצר נכס הוצאות מראש בסך 5,000 לתום שנה.</t>
  </si>
  <si>
    <t>א מכירות</t>
  </si>
  <si>
    <t>ב גבייה</t>
  </si>
  <si>
    <t>ד מכירות</t>
  </si>
  <si>
    <t>ה גבייה</t>
  </si>
  <si>
    <t>ו חוב אבוד</t>
  </si>
  <si>
    <t>שאלה נוספת:</t>
  </si>
  <si>
    <t>פתרון השאלה הנוספת:</t>
  </si>
  <si>
    <t>אירוע 1</t>
  </si>
  <si>
    <t>הרחבה זו רלוונטית לתרגיל ״נתחשבן בהמשך״ מחוברת הקורס שנפתרה בתרגול עם חן / גל - פתרון
חלק מהאירועים בגישה שהצגנו</t>
  </si>
  <si>
    <t>ח׳ מזומן 100,000</t>
  </si>
  <si>
    <t>ז׳ הכנסה 100,000</t>
  </si>
  <si>
    <t>ז׳ הכנסות מראש 40,000</t>
  </si>
  <si>
    <t>ח׳ הכנסה 40,000</t>
  </si>
  <si>
    <t>הכנסות מראש (התחייבות) 40,000</t>
  </si>
  <si>
    <t>ח׳ מזומן 24,000</t>
  </si>
  <si>
    <t>ז׳ הכנסה 24,000</t>
  </si>
  <si>
    <t>ז׳ הכנסה 20,000</t>
  </si>
  <si>
    <t>ח׳ הכנסות מראש 20,000</t>
  </si>
  <si>
    <t>הכנסות מראש (התחייבות) 20,000</t>
  </si>
  <si>
    <t>הסבר:</t>
  </si>
  <si>
    <t>פקודת הנהלת החשבונות היא מאד פשוטה. ב-2012 מקבלים 100,000 לפי 1,000 שעות כפול 100 ש״ח לשעה,</t>
  </si>
  <si>
    <t>וב-2013 מקבלים 24,000 ש״ח בסך הכל.</t>
  </si>
  <si>
    <t>ההכנסה ברווח והפסד קצת יותר מתוחכמת:</t>
  </si>
  <si>
    <t>ב-2012, ההכנסה לפי שווי השירות מתאימה ל-600 שעות שסופקו כפול שווי של 100 ש״ח לשעה ובסך</t>
  </si>
  <si>
    <t>הכל 60,000 ש״ח.</t>
  </si>
  <si>
    <t>ב-2013, ההכנסה היא לפי שווי של 400 שעות שסופקו כפול 100 ש״ח לשעה כלומר 40,000 ש״ח, ולכך יש</t>
  </si>
  <si>
    <t>להוסיף שווי שירות לחודשים נובמבר ודצמבר בסך 2,000 לחודש עוד 4,000 ש״ח ובסך הכל 44,000 ש״ח.</t>
  </si>
  <si>
    <t>יתרת ההתחשבנות המצטברת בתום 2012 היא 40,000 לפי ההפרש בין סך המזומן שהתקבל 100,000</t>
  </si>
  <si>
    <t xml:space="preserve">לבין סך ההכנסה המצטברת 60,000. </t>
  </si>
  <si>
    <t>יתרת ההתחשבנות המצטברת בתום 2013 היא 20,000 לפי ההפרש בין סך המזומן שהתקבל 124,000</t>
  </si>
  <si>
    <t>לבין סך ההכנסה ברווח והפסד במצטבר 104,000 ש״ח ולכן הכנסה מראש 20,000.</t>
  </si>
  <si>
    <t>פקודת החתך מקטינה את ההכנסה ב-2012 ומובילה להכרה בהתחייבות בגין הכנסה מראש 40,000.</t>
  </si>
  <si>
    <t>פקודת החתך מקטינה את ההכנסה ב-2013 ומובילה להקטנת ההתחייבות בגין הכנסה מראש בסכום זהה.</t>
  </si>
  <si>
    <t>אירוע 2</t>
  </si>
  <si>
    <t>ז׳ מזומן 70,000</t>
  </si>
  <si>
    <t>ח׳ הוצאה 70,000</t>
  </si>
  <si>
    <t>ח׳ הוצאה 63,000</t>
  </si>
  <si>
    <t>ז׳ מזמן 63,000</t>
  </si>
  <si>
    <t>ח׳ הוצאות מראש 35,000</t>
  </si>
  <si>
    <t>ז׳ הוצאה 35,000</t>
  </si>
  <si>
    <t>הוצאות מראש 35,000 (נכס)</t>
  </si>
  <si>
    <t>ח׳ הוצאות 3,500</t>
  </si>
  <si>
    <t>ז׳ הוצאות מראש 3,500</t>
  </si>
  <si>
    <t>הוצאות מראש 31,500 (נכס)</t>
  </si>
  <si>
    <t>פקודת הנהלת החשבונות מאד פשוטה. ב-2012, לפי סכום הוצאה של 70,000 ששולמו במזומן כנתון,</t>
  </si>
  <si>
    <t>ובשנת 2013, התעריף נמוך ב-10%, לכן שולם 63,000 = (10% - 1) * 70,000.</t>
  </si>
  <si>
    <t>לגבי ההוצאה, כאן זה טריקי יותר.</t>
  </si>
  <si>
    <t>בשנת 2012, החישוב פשוט: ניצלנו מחצית מתקופת ההסכם, העלות לשנה 70,000 ש״ח והשווי לחצי</t>
  </si>
  <si>
    <t>שנה לתקופה 30.6.2012 - 31.12.2012 היא 35,000 ש״ח (חצי שנה מתוך שנה).</t>
  </si>
  <si>
    <t>בשנת 2013, החישוב מורכב יותר, ומדוע?</t>
  </si>
  <si>
    <t>משום שעבור התקופה 1.1.2013-30.6.2013, צרכנו את המחצית הנותרת מההסכם הקודם, כלומר 35,000 ש״ח.</t>
  </si>
  <si>
    <t>עבור התקופה 1.7.2013-31.12.2013, צרכנו מחצית (6 חודשים) מההסכם החדש, כלומר מחצית מ-63,000</t>
  </si>
  <si>
    <t>שהם 31,500.</t>
  </si>
  <si>
    <t>כך שבסך הכל, עבור שנת 2013, ההוצאה הכוללת לפי שווי השירות היא 66,500 = 35,000 + 31,500</t>
  </si>
  <si>
    <t>לדעתי, לאחר ההסבר של ההוצאות, לא צריכה להיות לכם בעיה להשלים את פקודות ההתאמה והחתך.</t>
  </si>
  <si>
    <t>עבדנו על זה מספיק, אבל אם אני טועה, עדכנו אותי בפנייה למרצה.</t>
  </si>
  <si>
    <t>תרגולים לתכני הרצאות 5-6 - מבוא לחשבונאות פיננסית - תרגולים נוספים בנושאי חתך והלח״מ / לקוחות</t>
  </si>
  <si>
    <t>יתרת הלקוחות = לקוחות ברוטו</t>
  </si>
  <si>
    <t>בניכוי יתרת ההלח״מ</t>
  </si>
  <si>
    <t>שווה ל: לקוחות, נטו:</t>
  </si>
  <si>
    <t>פתרון מלא - שאלה 26 - חברת ״מרגין״ - לקוחות והלח״מ</t>
  </si>
  <si>
    <t>מכירות 2012</t>
  </si>
  <si>
    <t>יתרת פתיחה</t>
  </si>
  <si>
    <t xml:space="preserve">  (*)5</t>
  </si>
  <si>
    <r>
      <t xml:space="preserve">יתרת הלקוחות (ברוטו) ליום 31/12/2012 </t>
    </r>
    <r>
      <rPr>
        <b/>
        <sz val="12"/>
        <color theme="1"/>
        <rFont val="David"/>
        <family val="2"/>
        <charset val="177"/>
      </rPr>
      <t>שגויה</t>
    </r>
    <r>
      <rPr>
        <sz val="12"/>
        <color theme="1"/>
        <rFont val="David"/>
        <family val="2"/>
        <charset val="177"/>
      </rPr>
      <t xml:space="preserve">. </t>
    </r>
  </si>
  <si>
    <t>נתון ששתי עסקאות שמשפיעות על הלקוחות לא נרשמו:</t>
  </si>
  <si>
    <t xml:space="preserve">חוב אבוד (נתון 2) בסך 100,000 שלא קיבל ביטוי &gt;&gt;&gt; קיטון בלקוחות ברוטו וגם בהלח״מ. </t>
  </si>
  <si>
    <t>מכירה באשראי בסיף 200,000 שלא קיבלה ביטוי &gt;&gt;&gt; גידול בלקוחות ברוטו.</t>
  </si>
  <si>
    <t>לקוחות ברוטו לפני תיקונים:</t>
  </si>
  <si>
    <t>הפחת: חוב אבוד</t>
  </si>
  <si>
    <t>הוסף: מכירה באשראי</t>
  </si>
  <si>
    <t>לקוחות ברוטו מעודכן 31/12</t>
  </si>
  <si>
    <t>PN</t>
  </si>
  <si>
    <t>סיכום:</t>
  </si>
  <si>
    <t>כאשר אני מקבל שאלה, שבה כבר נתנו לי (כנתון) את יתרת הלקוחות ברוטו לתום השנה,</t>
  </si>
  <si>
    <t>אני לא מחשב אותה בעצמי (כמו בתרגילים מהכיתה) אלא לוקח אותה ״כמו שהיא״ ורק</t>
  </si>
  <si>
    <t xml:space="preserve">מוסיף או מחסיר ממנה תיקונים בגין עסקאות שלא נרשמו. </t>
  </si>
  <si>
    <t>לאחר שיתרת הסגירה המתוקנת בידי, אשבץ את החוב האבוד בתנועות ואמשיך כרגיל:</t>
  </si>
  <si>
    <t xml:space="preserve">חישוב יתרת סגירה הלח״מ וחילוץ הוצאות הלח״מ. </t>
  </si>
  <si>
    <t xml:space="preserve">כשרוצים לדעת מהי יתרת ״כרטיס הלקוחות״ מתכוונים ללקוחות ברוטו. </t>
  </si>
  <si>
    <t>לכן, תשובתנו לנדרש 1 היא 2,100,000 ש״ח.</t>
  </si>
  <si>
    <t>נדרש 1:</t>
  </si>
  <si>
    <t>נדרש 2:</t>
  </si>
  <si>
    <t>ההוצאה לחובות מסופקים (הוצאות הלח״מ): 85,000.</t>
  </si>
  <si>
    <t>נדרש 3:</t>
  </si>
  <si>
    <t xml:space="preserve">יתרת סגירה הלח״מ: 105,000. </t>
  </si>
  <si>
    <t>נדרש 4:</t>
  </si>
  <si>
    <t>תמיד כשדורשים את סעיף הלקוחות בדיווח הכספי, הכוונה היא ללקוחות ״נטו״ כלומר</t>
  </si>
  <si>
    <t>לקוחות ברוטו</t>
  </si>
  <si>
    <t>ליתרה ברוטו בניכוי יתרת ההלח״מ:</t>
  </si>
  <si>
    <t>בניכוי יתרת הלח״מ</t>
  </si>
  <si>
    <t>לקוחות, נטו = לדיווח</t>
  </si>
  <si>
    <t>תשובה סופית לנדרש 4</t>
  </si>
  <si>
    <t>בהחלט אפשרי גם לבצע חילוץ לאחור של התנועות; אלא שחילוץ זה עשוי לעורר מורכבות</t>
  </si>
  <si>
    <t>מסוימת בתהליך החישובי. ולכן, כל עוד ההתמקדות היא בלקוחות נטו ובהוצאות ההלח״מ,</t>
  </si>
  <si>
    <t>אפשר בהחלט להימנע מהחילוץ המלא, ורק לתקן את הלקוחות, להתייחס לאבוד, ולחלץ.</t>
  </si>
  <si>
    <t xml:space="preserve">2,000,000 - 100,000 + 200,000 = </t>
  </si>
  <si>
    <t>שאלה 23 - הכסף האבוד (קלה יותר)</t>
  </si>
  <si>
    <t xml:space="preserve">כאשר בשאלה נותנים לי כנתון את יתרת הלקוחות לתום השנה, אני לא מחשב אותה בעצמי, </t>
  </si>
  <si>
    <t xml:space="preserve">אלא רק מתקן אותה בגין עסקאות שלא נרשמו. </t>
  </si>
  <si>
    <t>על פי נתון 5 - יתרת הלקוחות:</t>
  </si>
  <si>
    <t>תיקון נתון 2 - חוב אבוד שיש לרשום:</t>
  </si>
  <si>
    <t>תיקון נתון 3 - מכירה נוספת באשראי:</t>
  </si>
  <si>
    <t>יתרת לקוחות ברוטו עדכנית סופית:</t>
  </si>
  <si>
    <t>לקוחות, נטו</t>
  </si>
  <si>
    <t>לא קריטי לרשום</t>
  </si>
  <si>
    <t>לעלות זו נדרשה החברה להוסיף התקן חובה לחימום נקניק בחיבור USB Type C בעלות 200 ש״ח.</t>
  </si>
  <si>
    <r>
      <t xml:space="preserve">עודפים </t>
    </r>
    <r>
      <rPr>
        <b/>
        <sz val="12"/>
        <color rgb="FFFF0000"/>
        <rFont val="David"/>
        <family val="2"/>
        <charset val="177"/>
      </rPr>
      <t>1.1</t>
    </r>
  </si>
  <si>
    <t>מכונות - 
עלות</t>
  </si>
  <si>
    <r>
      <t xml:space="preserve">הנחות 
</t>
    </r>
    <r>
      <rPr>
        <b/>
        <sz val="12"/>
        <rFont val="David"/>
        <family val="2"/>
        <charset val="177"/>
      </rPr>
      <t>מסחריות</t>
    </r>
    <r>
      <rPr>
        <sz val="12"/>
        <rFont val="David"/>
        <family val="2"/>
        <charset val="177"/>
      </rPr>
      <t xml:space="preserve">
ללקוח</t>
    </r>
  </si>
  <si>
    <t>מלאי 
31.12
מאזן</t>
  </si>
  <si>
    <t>מלאי
31.12
רוו״ה</t>
  </si>
  <si>
    <t>אין גרט
פחת 10 שנים
זמינות: 31.3.2019</t>
  </si>
  <si>
    <r>
      <t xml:space="preserve">מכונות - 
פחת נצבר 
</t>
    </r>
    <r>
      <rPr>
        <b/>
        <sz val="12"/>
        <color rgb="FFFF0000"/>
        <rFont val="David"/>
        <family val="2"/>
        <charset val="177"/>
      </rPr>
      <t>1.1</t>
    </r>
    <r>
      <rPr>
        <sz val="12"/>
        <color theme="1"/>
        <rFont val="David"/>
        <family val="2"/>
        <charset val="177"/>
      </rPr>
      <t>.20</t>
    </r>
  </si>
  <si>
    <t>בטבלת היתרות:</t>
  </si>
  <si>
    <t>פחת נצבר 1.1.2020</t>
  </si>
  <si>
    <t>הוסף: עלייה השנה 2020</t>
  </si>
  <si>
    <t>פחת נצבר 31.12.2020</t>
  </si>
  <si>
    <t>הוצאות פחת - חדששששש</t>
  </si>
  <si>
    <t>פתרון שאלת מסה מהאתר - ״הנסיכה התימנית״</t>
  </si>
  <si>
    <t>נייר עבודה בסיסי לפני סיווגים:</t>
  </si>
  <si>
    <t>הוצאות תקשורת</t>
  </si>
  <si>
    <t>הוצאות תקשורת מראש ליום 1.1.2021</t>
  </si>
  <si>
    <t>פקדון בנקאי ל-5 שנים</t>
  </si>
  <si>
    <t>עמלה לסוכני מכירות</t>
  </si>
  <si>
    <t>הוצאות תפעוליות כלליות</t>
  </si>
  <si>
    <t>סיווגים והשלמת נתונים חסרים לפני תיקונים ועדכונים:</t>
  </si>
  <si>
    <t>טבלה מעודכנת כבסיס לעריכת הדיווח:</t>
  </si>
  <si>
    <t>שיחזור ערכים חסרים (?) לפני תיקונים ועדכונים - ללא פקודות יומן נוספות!</t>
  </si>
  <si>
    <t>פחת נצבר 1.1.2021</t>
  </si>
  <si>
    <t>עודפים 1.1.2021</t>
  </si>
  <si>
    <t>יחולצו רק בסוף התהליך</t>
  </si>
  <si>
    <t>חילוץ לפי נתוני מלל השאלה</t>
  </si>
  <si>
    <t>פחת נצבר מחשבים 1.1.2021</t>
  </si>
  <si>
    <t>מועד תחילת ההפחתה (זמינות לשימוש)</t>
  </si>
  <si>
    <t>תקופת הפחתה בשנים (קו ישר)</t>
  </si>
  <si>
    <t>ערך שייר / גרט:</t>
  </si>
  <si>
    <r>
      <t xml:space="preserve">דגש: כל המטרה היא לחשב את יתרת הפחת הנצבר ליום 1.1.2021, </t>
    </r>
    <r>
      <rPr>
        <b/>
        <sz val="12"/>
        <color theme="1"/>
        <rFont val="David"/>
        <family val="2"/>
        <charset val="177"/>
      </rPr>
      <t>ולא</t>
    </r>
    <r>
      <rPr>
        <sz val="12"/>
        <color theme="1"/>
        <rFont val="David"/>
        <family val="2"/>
        <charset val="177"/>
      </rPr>
      <t xml:space="preserve"> לעדכן את הפחת הנצבר לתום השנה. </t>
    </r>
  </si>
  <si>
    <t>כלומר, בשלב זה לא נעניק ביטוי לאירועים שטרם נרשמו, כגון הוצאות פחת של השנה ומכירה שלא נרשמה.</t>
  </si>
  <si>
    <t>בנתוני השאלה, עלות המחשבים:</t>
  </si>
  <si>
    <t xml:space="preserve">[(600 - 0) / 8] * (3 + 6/12) =  </t>
  </si>
  <si>
    <r>
      <t>מדוע לא רשמנו פחת השנה ולא התייחסנו למכירה? משום שאלו אירועים ש</t>
    </r>
    <r>
      <rPr>
        <b/>
        <sz val="12"/>
        <color theme="1"/>
        <rFont val="David"/>
        <family val="2"/>
        <charset val="177"/>
      </rPr>
      <t>טרם נרשמו</t>
    </r>
    <r>
      <rPr>
        <sz val="12"/>
        <color theme="1"/>
        <rFont val="David"/>
        <family val="2"/>
        <charset val="177"/>
      </rPr>
      <t xml:space="preserve"> ועבורם מבצעים </t>
    </r>
    <r>
      <rPr>
        <b/>
        <sz val="12"/>
        <color theme="1"/>
        <rFont val="David"/>
        <family val="2"/>
        <charset val="177"/>
      </rPr>
      <t>עדכון</t>
    </r>
  </si>
  <si>
    <t xml:space="preserve">בדרך של פקודות יומן, בהמשך. </t>
  </si>
  <si>
    <t>פחת נצבר מחשבים 1.1.2021:</t>
  </si>
  <si>
    <t>שחזור פחת נצבר מחשבים 1.1.2021</t>
  </si>
  <si>
    <t>שיחזור מלאי סגירה 31.12.2021</t>
  </si>
  <si>
    <t>תזכורת: ערכו של מלאי הסגירה בדוחות הכספיים נקבע לפי הנמוך מבין שני ערכים:</t>
  </si>
  <si>
    <t xml:space="preserve">א. עלות. </t>
  </si>
  <si>
    <t xml:space="preserve">10,000 * 7 = </t>
  </si>
  <si>
    <r>
      <rPr>
        <b/>
        <sz val="12"/>
        <color theme="1"/>
        <rFont val="David"/>
        <family val="2"/>
        <charset val="177"/>
      </rPr>
      <t>אלפי</t>
    </r>
    <r>
      <rPr>
        <sz val="12"/>
        <color theme="1"/>
        <rFont val="David"/>
        <family val="2"/>
        <charset val="177"/>
      </rPr>
      <t xml:space="preserve"> ש״ח</t>
    </r>
  </si>
  <si>
    <t>הערך שיוצג - הנמוך יותר - מלאי הסגירה ליום 31.12.2021:</t>
  </si>
  <si>
    <t>90 + ?</t>
  </si>
  <si>
    <t>שיחזור עודפים 1.1.2021</t>
  </si>
  <si>
    <t>אני אגש לשיחזור יתרת הפתיחה 1.1 של העודפים. גם אם יש אירועים בשאלה שלא נרשמו כלל או מספרים לנו מפורשות על טעויות</t>
  </si>
  <si>
    <t xml:space="preserve">ברישומים, בשלב שיחזור ראשוני זה אין צורך בהם. </t>
  </si>
  <si>
    <t>המשוואה מתוכה אחלץ את העודפים ל-1.1 (?) היא:</t>
  </si>
  <si>
    <t>נכסים = התחייבויות + הון + הכנסות - הוצאות</t>
  </si>
  <si>
    <t xml:space="preserve">? = </t>
  </si>
  <si>
    <r>
      <t xml:space="preserve">רק לאחר ששיחזרתי את כל יתר הערכים, וסיכמתי את הנכסים, ההתחייבויות, ההון, ההכנסות וההוצאות </t>
    </r>
    <r>
      <rPr>
        <b/>
        <sz val="12"/>
        <color rgb="FF00B0F0"/>
        <rFont val="David"/>
        <family val="2"/>
        <charset val="177"/>
      </rPr>
      <t>לפני תיקונים</t>
    </r>
    <r>
      <rPr>
        <sz val="12"/>
        <color theme="1"/>
        <rFont val="David"/>
        <family val="2"/>
        <charset val="177"/>
      </rPr>
      <t>,</t>
    </r>
  </si>
  <si>
    <t>השלב ה״קשוח״ - עדכונים על בסיס הנתונים הנוספים:</t>
  </si>
  <si>
    <t>בשלב זה, עלינו לעבור על כל הנתונים הנוספים ללא יוצא מן הכלל, ולדאוג לעדכן ו/או לתקן את כלל הרישומים הרלוונטיים.</t>
  </si>
  <si>
    <r>
      <t xml:space="preserve">כל תיקון / עדכון </t>
    </r>
    <r>
      <rPr>
        <b/>
        <sz val="12"/>
        <color theme="1"/>
        <rFont val="David"/>
        <family val="2"/>
        <charset val="177"/>
      </rPr>
      <t>ילווה בפקודת יומן רלוונטית</t>
    </r>
    <r>
      <rPr>
        <sz val="12"/>
        <color theme="1"/>
        <rFont val="David"/>
        <family val="2"/>
        <charset val="177"/>
      </rPr>
      <t>. וזאת, בשוני מובהק משלב השיחזורים שבו חישבנו מתמטית ״מה היה רשום״</t>
    </r>
  </si>
  <si>
    <t>ולא רשמנו תיקונים / עדכונים בעצמנו.</t>
  </si>
  <si>
    <t>נתון 1 - הוצאות תקשורת - עדכון מלא</t>
  </si>
  <si>
    <t>נתונים רלוונטיים בטבלה:</t>
  </si>
  <si>
    <r>
      <t xml:space="preserve">הוצאות תקשורת מראש </t>
    </r>
    <r>
      <rPr>
        <b/>
        <sz val="12"/>
        <color theme="1"/>
        <rFont val="David"/>
        <family val="2"/>
        <charset val="177"/>
      </rPr>
      <t>1.1.2021</t>
    </r>
  </si>
  <si>
    <t>הוצאות מראש = נכס; נכס שמשמעותו היא זכאות לקבל שירותים בעתיד, בעד תשלומים שכבר שילמנו:</t>
  </si>
  <si>
    <t>במלים פשוטות: שילמנו וטרם קיבלנו שירות = חייבים לנו = נכס שלנו.</t>
  </si>
  <si>
    <t>כאשר נצרכים השירותים בעדם שילמנו - עלינו:</t>
  </si>
  <si>
    <t>א. להכיר בהוצאה (צריכת שירותים = הוצאה).</t>
  </si>
  <si>
    <t>ב. לגרוע (לאפס, לממש) את נכס ההוצאות מראש.</t>
  </si>
  <si>
    <t>הרחבה - במושגים שנלמדו בעבר:</t>
  </si>
  <si>
    <t>מנה״ח</t>
  </si>
  <si>
    <t>ההוצאה</t>
  </si>
  <si>
    <t>ח׳ הוצ׳ תקשורת 80</t>
  </si>
  <si>
    <t>ז׳ מזומן 80</t>
  </si>
  <si>
    <t>ח׳ הוצאות תקשורת 30</t>
  </si>
  <si>
    <t>ז׳ הוצאות מראש 30</t>
  </si>
  <si>
    <t>פקודת החתך - עדכון / תיקון</t>
  </si>
  <si>
    <t>בהעתקה של ערך סופי לאחר עדכון לטבלה למעלה:</t>
  </si>
  <si>
    <t xml:space="preserve">הוצאות מראש - שהיו 30 ל-1.1.2021, יאופסו (ל-0) ל-31.12.2021. </t>
  </si>
  <si>
    <t xml:space="preserve">הוצאות תקשורת - שהיו 80 לפני תיקונים, יוגדלו ל-110 (הוגדלו ב-30). </t>
  </si>
  <si>
    <r>
      <t xml:space="preserve">הוצאות תקשורת מראש ליום </t>
    </r>
    <r>
      <rPr>
        <b/>
        <sz val="12"/>
        <color rgb="FFFF0000"/>
        <rFont val="David"/>
        <family val="2"/>
        <charset val="177"/>
      </rPr>
      <t>31.12.2021</t>
    </r>
  </si>
  <si>
    <t>נתון 2 - טלפונים סלולריים</t>
  </si>
  <si>
    <t>הואיל והטלפונים נרכשו השנה (2021), לא מפתיע שאין נתונים לגבי יתרת הפחת הנצבר לתחילת השנה.</t>
  </si>
  <si>
    <t>עלות הטלפונים - מהטבלה:</t>
  </si>
  <si>
    <t>זמינות לשימוש החל מ:</t>
  </si>
  <si>
    <t>1.11.2021</t>
  </si>
  <si>
    <t>אורך חיים שימושיים - קו ישר:</t>
  </si>
  <si>
    <t xml:space="preserve">[(100 - 10% * 100) / 10] * (2/12) =  </t>
  </si>
  <si>
    <t>הוצאות פחת 2021</t>
  </si>
  <si>
    <t>פקודת היומן הרלוונטית לרישום הוצאות פחת תמיד תהיה:</t>
  </si>
  <si>
    <t>ח׳ הוצאות פחת</t>
  </si>
  <si>
    <t>ז׳ פחת נצבר (טלפונים סלולריים)</t>
  </si>
  <si>
    <t>חדש!!! פחת נצבר טלפונים סלולריים</t>
  </si>
  <si>
    <t>נתון 3 - מחשבים</t>
  </si>
  <si>
    <t>העתקת נתוני הטבלה - מחשבים:</t>
  </si>
  <si>
    <t>נתון</t>
  </si>
  <si>
    <t>חישבנו במסגרת השיחזורים</t>
  </si>
  <si>
    <t xml:space="preserve">באופן כללי - בגין כל פריט רכוש קבוע - נדאג לעדכן את הוצאות הפחת בגין השנה השוטפת. </t>
  </si>
  <si>
    <t>מעבר לכך, ספציפית באירוע זה, שבו דנים גם במכירה - נטפל גם בה.</t>
  </si>
  <si>
    <t xml:space="preserve">ח׳ הוצאות פחת </t>
  </si>
  <si>
    <t>ז׳ פחת נצבר מחשבים</t>
  </si>
  <si>
    <t>כעת, נטפל במכירה:</t>
  </si>
  <si>
    <t xml:space="preserve">על פי נתוני השאלה, הפריט נמכר ב-31.12.2021, והתמורה במכירה הובילה לרווח הון של 10,000. </t>
  </si>
  <si>
    <t>בכל מכירה, מחשבים תחילה את העלות המופחתת (עלות בניכוי פחת נצבר) ערב המכירה:</t>
  </si>
  <si>
    <t>פחת שהתווסף (הוצאות פחת) 2021</t>
  </si>
  <si>
    <t>מס׳ השנים עד המכירה</t>
  </si>
  <si>
    <t>1.7.17-31.12.21</t>
  </si>
  <si>
    <r>
      <t xml:space="preserve">262.5 + 75 = </t>
    </r>
    <r>
      <rPr>
        <sz val="12"/>
        <color rgb="FFFF0000"/>
        <rFont val="David"/>
        <family val="2"/>
        <charset val="177"/>
      </rPr>
      <t>75 * 4.5</t>
    </r>
    <r>
      <rPr>
        <sz val="12"/>
        <color theme="1"/>
        <rFont val="David"/>
        <family val="2"/>
        <charset val="177"/>
      </rPr>
      <t xml:space="preserve"> = </t>
    </r>
  </si>
  <si>
    <t>עלות מופחתת</t>
  </si>
  <si>
    <t>ההגדרה של רווח הון היא: תמורת המכירה בניכוי העלות המופחתת:</t>
  </si>
  <si>
    <t>רווח הון - נתון</t>
  </si>
  <si>
    <t>א. איפוס העלות (זכות)</t>
  </si>
  <si>
    <t>ב. איפוס פחת נצבר (חובה)</t>
  </si>
  <si>
    <t>ג. להכיר בתמורה במזומן (חובה)</t>
  </si>
  <si>
    <t>ד. להכיר ברווח / הפסד הון (רווח הון - זכות)</t>
  </si>
  <si>
    <t>פקודת יומן מעדכנת - מכירה של רכוש קבוע:</t>
  </si>
  <si>
    <t>עדכונים - מה ישתנה בטבלת הנתונים:</t>
  </si>
  <si>
    <t>הוצאות הפחת - להגדיל ב-</t>
  </si>
  <si>
    <t>פחת נצבר מחשבים - לאפס</t>
  </si>
  <si>
    <t>עלות מחשבים - לאפס</t>
  </si>
  <si>
    <t>מזומן - להגדיל ב-</t>
  </si>
  <si>
    <t>ליצור חשבון חדש!!! רווח הון!!!</t>
  </si>
  <si>
    <t>חדש!!! הוצאות פחת (מחשבים + טלפונים)</t>
  </si>
  <si>
    <t>מחשבים - פחת נצבר 31.12.2021</t>
  </si>
  <si>
    <t>חדש!!! רווח הון ממכירת מחשבים</t>
  </si>
  <si>
    <t>נתון 4 - צבירת ריבית</t>
  </si>
  <si>
    <t>כמובן שבחשבונאות עלינו לתת ביטוי לכל אירוע במועד התרחשותו.</t>
  </si>
  <si>
    <t xml:space="preserve">ספציפית, אם נצברה ריבית לזכותנו, גם אם טרם קיבלנו אותה במזומן בפועל - יש להכיר בהכנסה כנגד נכס ריבית לקבל. </t>
  </si>
  <si>
    <t>ח׳ הכנסות ריבית לקבל</t>
  </si>
  <si>
    <t>ז׳ הכנסות ריבית</t>
  </si>
  <si>
    <t>נוסיף שורה חדשה!!!! בטבלה</t>
  </si>
  <si>
    <t>נגדיל את השורה הקיימת של הכנסות ריבית ב-7</t>
  </si>
  <si>
    <t>חדש!! הכנסות ריבית לקבל</t>
  </si>
  <si>
    <t>סה״כ (סיכום עדכני, לא חובה לבצע)</t>
  </si>
  <si>
    <t>וכעת, השלב האחרון בהחלט - עריכת הדיווח הכספי</t>
  </si>
  <si>
    <t>חברת הנסיכה התימנית בע״מ - דוח רווח והפסד לשנה שנסתיימה ב-31/12/2021</t>
  </si>
  <si>
    <t>הוצ׳ מכירה ושיווק</t>
  </si>
  <si>
    <t>הוצ׳ הנהלה וכלליות</t>
  </si>
  <si>
    <r>
      <t xml:space="preserve">מכירות בניכוי החזרות מלקוחות והנחות </t>
    </r>
    <r>
      <rPr>
        <b/>
        <sz val="12"/>
        <color theme="1"/>
        <rFont val="David"/>
        <family val="2"/>
        <charset val="177"/>
      </rPr>
      <t>מסחריות</t>
    </r>
    <r>
      <rPr>
        <sz val="12"/>
        <color theme="1"/>
        <rFont val="David"/>
        <family val="2"/>
        <charset val="177"/>
      </rPr>
      <t xml:space="preserve"> ללקוחות</t>
    </r>
  </si>
  <si>
    <r>
      <t xml:space="preserve">מלאי פתיחה, </t>
    </r>
    <r>
      <rPr>
        <b/>
        <sz val="10"/>
        <color theme="1"/>
        <rFont val="David"/>
        <family val="2"/>
        <charset val="177"/>
      </rPr>
      <t>בתוספת:</t>
    </r>
    <r>
      <rPr>
        <sz val="10"/>
        <color theme="1"/>
        <rFont val="David"/>
        <family val="2"/>
        <charset val="177"/>
      </rPr>
      <t xml:space="preserve"> קניות, הובלה למחסן, </t>
    </r>
    <r>
      <rPr>
        <b/>
        <sz val="10"/>
        <color theme="1"/>
        <rFont val="David"/>
        <family val="2"/>
        <charset val="177"/>
      </rPr>
      <t>בניכוי:</t>
    </r>
    <r>
      <rPr>
        <sz val="10"/>
        <color theme="1"/>
        <rFont val="David"/>
        <family val="2"/>
        <charset val="177"/>
      </rPr>
      <t xml:space="preserve"> החזרות לספקים, הנחות מסחריות מספקים, מלאי סגירה</t>
    </r>
  </si>
  <si>
    <t xml:space="preserve">700 - 300 = </t>
  </si>
  <si>
    <t>עמלה לסוכני מכירות והוצאות משווקים</t>
  </si>
  <si>
    <t>ביאור - הוצאות הנהלה וכלליות:</t>
  </si>
  <si>
    <t>הוצאות שכר הנהלה</t>
  </si>
  <si>
    <t>הוצאות תפעול כלליות</t>
  </si>
  <si>
    <t xml:space="preserve">הוצאות פחת </t>
  </si>
  <si>
    <t xml:space="preserve">400 - 50 - 233.5 + 10 = </t>
  </si>
  <si>
    <t>כאן: הוצאות ריבית בלבד (באופן כללי, כולל גם עמלות בנקים והנחות מזומן ללקוחות)</t>
  </si>
  <si>
    <t>כאן: הכנסות ריבית והנחות מזומן שהתקבלו מספקים</t>
  </si>
  <si>
    <t xml:space="preserve">126.5 - 20 + 107 = </t>
  </si>
  <si>
    <t>כאן: אין מסים</t>
  </si>
  <si>
    <t>חברת ״הנסיכה התימנית״ בע״מ - הדוח על המצב הכספי (מאזן) ליום 31.12.2021</t>
  </si>
  <si>
    <t>מזומן (כולל עו״ש בנק)</t>
  </si>
  <si>
    <t>מלאי (סגירה)</t>
  </si>
  <si>
    <t>הכנסות לקבל/חייבים</t>
  </si>
  <si>
    <t>רכוש קבוע (בניכוי פחנ״צ)</t>
  </si>
  <si>
    <t>השקעה לזמן ארוך (פקדון)</t>
  </si>
  <si>
    <t>סך ההת׳ הלא שוטפות</t>
  </si>
  <si>
    <t>עודפים 31.12 (לא 1.1)</t>
  </si>
  <si>
    <t xml:space="preserve">סך הנכסים חייבים להיות שווים לסך </t>
  </si>
  <si>
    <t>ההתחייבויות וההון לכן העתקתי לסיכום כאן</t>
  </si>
  <si>
    <t>את סך הנכסים</t>
  </si>
  <si>
    <t>70 + 100 + 90 + x = 1,598</t>
  </si>
  <si>
    <t>פקדון בנקאי לשנה</t>
  </si>
  <si>
    <t>הוצאות תקשורת לשלם ליום 1.1.2021</t>
  </si>
  <si>
    <t>פתרון שאלת מסה - חברת ״שרה״</t>
  </si>
  <si>
    <t xml:space="preserve">לאחר שסידרתי את הערכים בטבלה, אפעל לחילוץ סימני השאלה. </t>
  </si>
  <si>
    <t>את סימני השאלה אחלץ בהתאם לתאריך הרשום לצידם: אם למשל הפחת הנצבר הוא ל-1.1.2021 בנתוני השאלה, אחלץ ספציפית</t>
  </si>
  <si>
    <t>אותו (לתחילת השנה) לפי הנתונים הנוספים.</t>
  </si>
  <si>
    <t>חילוץ 1: פחת נצבר מחשבים 1.1.2021</t>
  </si>
  <si>
    <t>היתרה החסרה הראשונה (למעט העודפים, שאותם נחלץ רק בסוף התהליך, תמיד) היא יתרת הפחת הנצבר בגין המחשבים לתחילת</t>
  </si>
  <si>
    <t xml:space="preserve">השנה, ל-1.1.2021. </t>
  </si>
  <si>
    <r>
      <t xml:space="preserve">תזכורת: פחת נצבר ל-1.1.2021 משקף למעשה את כל הוצאות הפחת (במצטבר) שכבר </t>
    </r>
    <r>
      <rPr>
        <b/>
        <sz val="12"/>
        <color theme="1"/>
        <rFont val="David"/>
        <family val="2"/>
        <charset val="177"/>
      </rPr>
      <t>נרשמו</t>
    </r>
    <r>
      <rPr>
        <sz val="12"/>
        <color theme="1"/>
        <rFont val="David"/>
        <family val="2"/>
        <charset val="177"/>
      </rPr>
      <t xml:space="preserve"> בשנים קודמות.</t>
    </r>
  </si>
  <si>
    <t>כרגיל, בשלב החילוצים, אנחנו לא רושמים פקודות יומן, אלא רק מחשבים (מתמטית) את מה שכבר נרשם בעבר - את הפחת</t>
  </si>
  <si>
    <t xml:space="preserve">הנצבר בגין המחשבים עד וכולל 1.1.2021. </t>
  </si>
  <si>
    <t>לפי נתון 2:</t>
  </si>
  <si>
    <t xml:space="preserve">כל היתר נרכשו ב-1.6.2021. </t>
  </si>
  <si>
    <t>כל המחשבים מופחתים על פני 8 שנים, כאשר השייר / הגרט אפס.</t>
  </si>
  <si>
    <t>בהתאם לנתוני טבלת הנתונים, סך המחשבים (עלות) היא 400 אלפי ש״ח.</t>
  </si>
  <si>
    <t>אלא שרק 75% מתוכם נרכשו לפני 1.1.2021, כלומר נחשב פחת נצבר בשלב ראשון רק על מחשבים שעלותם:</t>
  </si>
  <si>
    <t xml:space="preserve">75% * 400 = </t>
  </si>
  <si>
    <t>פחת נצבר 1.1.2021:</t>
  </si>
  <si>
    <r>
      <t xml:space="preserve">כ-75% מהמחשבים בחברה נרכשו ב - </t>
    </r>
    <r>
      <rPr>
        <sz val="12"/>
        <color rgb="FFFF0000"/>
        <rFont val="David"/>
        <family val="2"/>
        <charset val="177"/>
      </rPr>
      <t>1.1.2020.</t>
    </r>
    <r>
      <rPr>
        <sz val="12"/>
        <color theme="1"/>
        <rFont val="David"/>
        <family val="2"/>
        <charset val="177"/>
      </rPr>
      <t xml:space="preserve"> </t>
    </r>
  </si>
  <si>
    <t xml:space="preserve">[(300 - 0)/8] * 1 = </t>
  </si>
  <si>
    <t xml:space="preserve">הסבר נוסף: לקחנו את העלות, ניכינו את השייר / הגרט, וחילקנו בתקופת ההפחתה. </t>
  </si>
  <si>
    <t>הואיל והפריט נרכש ב-1.1.2020 (וכברירת מחדל - הפך לזמין מיד באותו הזמן) עד 1.1.2021 נצבר פחת בגין שנה אחת בלבד.</t>
  </si>
  <si>
    <t>חילוץ 2: מלאי הסגירה</t>
  </si>
  <si>
    <t xml:space="preserve">מלאי הסגירה הוא המלאי ל-31.12.2021. </t>
  </si>
  <si>
    <t>הוא נמדד לפי הנמוך מבין שני ערכים:</t>
  </si>
  <si>
    <t>א. עלות - וכאן נתון שיש 20,000 יח׳ מלאי בעלות 8 ש״ח ליחידה.</t>
  </si>
  <si>
    <t>ב. שווי מימוש נטו - מחיר מכירה צפוי (תכל׳ס) בניכוי עלויות השלמה ומכירה:</t>
  </si>
  <si>
    <t>מחיר מכירה</t>
  </si>
  <si>
    <t>השלמה ומכירה</t>
  </si>
  <si>
    <t>שווי מימוש נטו</t>
  </si>
  <si>
    <t>ש״ח ליחידה.</t>
  </si>
  <si>
    <t xml:space="preserve">הואיל ושווי המימוש נטו נמוך יותר, ייקבע ערכו של מלאי הסגירה לפי שווי </t>
  </si>
  <si>
    <t>מימוש נטו:</t>
  </si>
  <si>
    <t>6 * 20,000 = 120,000</t>
  </si>
  <si>
    <t>באלפי ש״ח:</t>
  </si>
  <si>
    <t>נכסים + הוצאות = התחייבויות + הון + הכנסות</t>
  </si>
  <si>
    <t>2007.5 + 589 = 365 + 100 + X + 985</t>
  </si>
  <si>
    <t xml:space="preserve">X = </t>
  </si>
  <si>
    <t>י״פ עודפים 1.1</t>
  </si>
  <si>
    <t xml:space="preserve">כעת נעבור לעדכונים הרלוונטיים, שדורשים מאיתנו לוודא, שכל הנתונים הנוספים, ללא יוצא מן הכלל, מקבלים ביטוי מושלם לעדכון </t>
  </si>
  <si>
    <t>הערכים לתום 2021, כבסיס לעריכת הדיווח הכספי לתום 2021.</t>
  </si>
  <si>
    <t>בטבלה נתון:</t>
  </si>
  <si>
    <t>הוצאות תקשורת לשלם 1.1.2021</t>
  </si>
  <si>
    <t xml:space="preserve">הואיל וחלק מהתשלום בסך 40 הוא לא בעד השנה, אלא סילוק התחייבות של שנה קודמת, </t>
  </si>
  <si>
    <t>עלינו לעדכן:</t>
  </si>
  <si>
    <t>ז׳ הוצאות לשלם 15</t>
  </si>
  <si>
    <t>ח׳ הוצאות 15</t>
  </si>
  <si>
    <t>פקודת חתך</t>
  </si>
  <si>
    <t xml:space="preserve"> יתרת חתך</t>
  </si>
  <si>
    <t>הוצאות לשלם 15</t>
  </si>
  <si>
    <t>ח׳ הוצאות 40</t>
  </si>
  <si>
    <t>ז׳ מזומן 40</t>
  </si>
  <si>
    <t>ז׳ הוצאות תקשורת 15</t>
  </si>
  <si>
    <t>ח׳ הוצאות תקשורת לשלם 15</t>
  </si>
  <si>
    <t>פקודת עדכון</t>
  </si>
  <si>
    <t>הסבר מקוצר:</t>
  </si>
  <si>
    <t xml:space="preserve">אם נתון שחלק מההוצאות שנרשמו הן למעשה סילוק התחייבות משנה קודמת - </t>
  </si>
  <si>
    <t>יש להקטין את ההוצאה ולאפס את ההתחייבות באותו הסכום (15).</t>
  </si>
  <si>
    <t>בצבלה המעודכנץ:</t>
  </si>
  <si>
    <t>הוצאות תקשורת לשלם:</t>
  </si>
  <si>
    <t>הוצאות תקשורת:</t>
  </si>
  <si>
    <t xml:space="preserve">15 - 15 = </t>
  </si>
  <si>
    <t xml:space="preserve">40 - 15 = </t>
  </si>
  <si>
    <t>מתוכם - עלות הנרכש ב-1.1.2020</t>
  </si>
  <si>
    <t>עלות הנרכש ב-30.6.2021</t>
  </si>
  <si>
    <t xml:space="preserve">25% * 400 = </t>
  </si>
  <si>
    <t>פחת - קו ישר, בשנים:</t>
  </si>
  <si>
    <t>אין ערך שייר / גרט.</t>
  </si>
  <si>
    <t>נפצל את חישוב הוצאות הפחת לחלקים:</t>
  </si>
  <si>
    <t>מחשבים שהיו כל השנה ולא נמכרו:</t>
  </si>
  <si>
    <t xml:space="preserve">300 - 100 = </t>
  </si>
  <si>
    <t>מחשבים חדשים שנרכשו ב-30.6.2021:</t>
  </si>
  <si>
    <t>מחשבים שהיו מתחילת השנה ונמכרו ב-30.9:</t>
  </si>
  <si>
    <t>סך הוצאות הפחת - מחשבים שהיו כל השנה ולא נמכרו:</t>
  </si>
  <si>
    <t xml:space="preserve">200 / 8 = </t>
  </si>
  <si>
    <t>סך הוצאות הפחת - מחשבים שהיו 1.1-30.9 (שנמכרו):</t>
  </si>
  <si>
    <t xml:space="preserve">(100 / 8) * (9/12) = </t>
  </si>
  <si>
    <t>סך הוצאות הפחת מחשבים חדשים 30.6.2021-31.12.2021:</t>
  </si>
  <si>
    <t xml:space="preserve">(100 / 8) * (6/12) = </t>
  </si>
  <si>
    <t>סה״כ הוצאות פחת (חדש!!!) ב-2021</t>
  </si>
  <si>
    <t>טיפול במכירה:</t>
  </si>
  <si>
    <t>כדי לדון במכירה, עלינו לחשב תחילה את העלות המופחתת (עלות בניכוי פחת נצבר) של הפריטים שנמכרו.</t>
  </si>
  <si>
    <t>עלות המחשבים שנמכרו:</t>
  </si>
  <si>
    <t>פחנ״צ מחשבים שנמכרו 1.1.2020-30.9.2021</t>
  </si>
  <si>
    <t xml:space="preserve">(100 / 8) * (1 + 9/12) = </t>
  </si>
  <si>
    <t>עלות מופחתת - מחשבים שנמכרו</t>
  </si>
  <si>
    <t xml:space="preserve">בנוסף נתון שנוצר הפסד הון במכירה, בסך 14 אלפי ש״ח. תזכורת: הפסד ההון הוא ההפרש (השלילי) </t>
  </si>
  <si>
    <t>בין תמורת המכירה לבין העלות המופחתת של הפריטים שנמכרו:</t>
  </si>
  <si>
    <t>x - 78.125 = -14</t>
  </si>
  <si>
    <t>x = 64.125</t>
  </si>
  <si>
    <t>כעת, כשכל הנתונים בדבר המכירה נותחו, ניתן לייצר את הפקודה הרלוונטית - למכירה:</t>
  </si>
  <si>
    <t>ח׳ מזומן (תמורה בגין המכירה)</t>
  </si>
  <si>
    <t>ז׳ עלות הפריט (עלות המחשבים שנמכרו)</t>
  </si>
  <si>
    <t>ח׳ פחת נצבר (של הפריטים שנמכרו)</t>
  </si>
  <si>
    <t>ח׳ הפסד הון</t>
  </si>
  <si>
    <t>מה לוקחים לטבלה עצמה? מה מעדכנים?</t>
  </si>
  <si>
    <t xml:space="preserve">500 + 64.125 = </t>
  </si>
  <si>
    <r>
      <t xml:space="preserve">להגדיל </t>
    </r>
    <r>
      <rPr>
        <b/>
        <sz val="12"/>
        <color rgb="FFFF0000"/>
        <rFont val="David"/>
        <family val="2"/>
        <charset val="177"/>
      </rPr>
      <t>מזומן</t>
    </r>
    <r>
      <rPr>
        <sz val="12"/>
        <color theme="1"/>
        <rFont val="David"/>
        <family val="2"/>
        <charset val="177"/>
      </rPr>
      <t xml:space="preserve"> ב-64.125</t>
    </r>
  </si>
  <si>
    <t xml:space="preserve">400 - 100 = </t>
  </si>
  <si>
    <r>
      <t xml:space="preserve">להקטין </t>
    </r>
    <r>
      <rPr>
        <b/>
        <sz val="12"/>
        <color rgb="FFFF0000"/>
        <rFont val="David"/>
        <family val="2"/>
        <charset val="177"/>
      </rPr>
      <t>עלות המחשבים</t>
    </r>
    <r>
      <rPr>
        <sz val="12"/>
        <color theme="1"/>
        <rFont val="David"/>
        <family val="2"/>
        <charset val="177"/>
      </rPr>
      <t xml:space="preserve"> ב-100:</t>
    </r>
  </si>
  <si>
    <r>
      <t xml:space="preserve">להכיר ב״חדש!!!״ </t>
    </r>
    <r>
      <rPr>
        <b/>
        <sz val="12"/>
        <color rgb="FFFF0000"/>
        <rFont val="David"/>
        <family val="2"/>
        <charset val="177"/>
      </rPr>
      <t>הפסד הון</t>
    </r>
    <r>
      <rPr>
        <sz val="12"/>
        <color theme="1"/>
        <rFont val="David"/>
        <family val="2"/>
        <charset val="177"/>
      </rPr>
      <t xml:space="preserve"> (בהוצאות):</t>
    </r>
  </si>
  <si>
    <r>
      <t xml:space="preserve">לעדכן את </t>
    </r>
    <r>
      <rPr>
        <b/>
        <sz val="12"/>
        <color rgb="FFFF0000"/>
        <rFont val="David"/>
        <family val="2"/>
        <charset val="177"/>
      </rPr>
      <t>פחנ״צ מחשבים</t>
    </r>
    <r>
      <rPr>
        <sz val="12"/>
        <color theme="1"/>
        <rFont val="David"/>
        <family val="2"/>
        <charset val="177"/>
      </rPr>
      <t>:</t>
    </r>
  </si>
  <si>
    <t xml:space="preserve">37.5 + 40.625 - 21.875 = </t>
  </si>
  <si>
    <t>לעניין הפחת הנצבר בגין המחשבים: התחלנו מהפחת הנצבר לתחילת השנה 37.5, הוספנו את הוצאות הפחת השנה - 40.625,</t>
  </si>
  <si>
    <t xml:space="preserve">והפחתנו את הפחת הנצבר בגין הפריט שנמכר 21.875. </t>
  </si>
  <si>
    <t>חדש!!! הוצאות פחת!!!</t>
  </si>
  <si>
    <t>חדש!! הפסד הון!!!</t>
  </si>
  <si>
    <t>טלפונים סלולריים - בטבלה נתונה עלותם:</t>
  </si>
  <si>
    <t>תקופת הפחתה - בשנים - קו ישר:</t>
  </si>
  <si>
    <t>הוצאות פחת בגין טלפונים סלולריים:</t>
  </si>
  <si>
    <t xml:space="preserve">(80 - 10) / 4 * (7/12) = </t>
  </si>
  <si>
    <t>ז׳ פחת נצבר - טלפונים סלולריים</t>
  </si>
  <si>
    <t>בטבלה למעלה:</t>
  </si>
  <si>
    <t>עדכון הוצאות הפחת בסה״כ ל:</t>
  </si>
  <si>
    <t xml:space="preserve">40.625 + 10.208 = </t>
  </si>
  <si>
    <t>ח׳ הוצאות ריבית</t>
  </si>
  <si>
    <t>ז׳ הוצאות ריבית לשלם</t>
  </si>
  <si>
    <t>סעיף הוצאות ריבית עדכני:</t>
  </si>
  <si>
    <t xml:space="preserve">75 + 8 = </t>
  </si>
  <si>
    <t>הוצאות ריבית לשלם - חדש!!!</t>
  </si>
  <si>
    <t>חדש!!! הוצאות ריבית לשלם</t>
  </si>
  <si>
    <t>בשלב לפני העדכונים הסיכומים היו שונים מהמופיע לעיל, ועל בסיסם חילצנו יתרת פתיחה עודפים:</t>
  </si>
  <si>
    <t>כעת, נעבור ככל הניתן להצגת דוחות כספיים:</t>
  </si>
  <si>
    <t>חברת ״שרה״ בע״מ - דוח רווח והפסד לשנה שנסתיימה ב-31.12.2021</t>
  </si>
  <si>
    <t>הוצאות אחרות</t>
  </si>
  <si>
    <t>רווח לפני מסים על ההכנסה = רווח נקי</t>
  </si>
  <si>
    <t xml:space="preserve">300 + 60 - 120 = </t>
  </si>
  <si>
    <t>שכר אנשי מכירות ועמלות סוכני מכירות</t>
  </si>
  <si>
    <t>הנחות מזומן מספקים + הכנסות ריבית</t>
  </si>
  <si>
    <t>חברת ״שרה״ בע״מ - הדוח על המצב הכספי (מאזן) ליום 31.12.2021</t>
  </si>
  <si>
    <t>פקדון בנקאי לשנה / השקעות לזמן קצר</t>
  </si>
  <si>
    <t>רכוש קבוע, נטו: מחשבים וסלולריים</t>
  </si>
  <si>
    <t xml:space="preserve">פקדון לזמן ארוך </t>
  </si>
  <si>
    <t>סך ההת׳ השוטפות</t>
  </si>
  <si>
    <t>סך ההתחייבויות הלא שו׳</t>
  </si>
  <si>
    <t>שאלת מסה נוספת עם פתרון מלא</t>
  </si>
  <si>
    <t xml:space="preserve">מטרה: תרגול מוקלט ומפורט בכתב של שאלות ממגוון נושאים שונים. </t>
  </si>
  <si>
    <t>ההסכם נחתם ב-1.6.2020. עד ליום 31.12.2020 כולל לא סופק שירות כלל ולא שולם סכום כלשהו במזומן עבור</t>
  </si>
  <si>
    <t>השירותים לחברה. בשנת 2021, סופקו שירותים בהיקף של 200,000 ש״ח כאשר המזומן שהתקבל הסתכם לסכום</t>
  </si>
  <si>
    <t>כולל של 270,000 ש״ח במהלך שנה זו. בשנת 2022, סופקו שירותים בהיקף של 300,000 ש״ח כאשר המזומן שהתקבל</t>
  </si>
  <si>
    <t>הסתכם לסכום של 140,000 ש״ח במהלך שנה זו. בשנת 2023, סופקו שירותים בהיקף של 100,000 ש״ח והתקבל</t>
  </si>
  <si>
    <t>מזומן בסכום של 180,000 ש״ח, ובשנת 2024 סופקו שירותים בהיקף 120,000 ש״ח והתקבל כל הסכום במזומן</t>
  </si>
  <si>
    <t xml:space="preserve">הנותר שמגיע לחברה. </t>
  </si>
  <si>
    <t>בנתונים אלו, ועבור כל אחת מהשנים הנדונות בשאלה, נדרש:</t>
  </si>
  <si>
    <t>א. הציגו את פקודות היומן שתרשמנה בהנהלת החשבונות של החברה על בסיס מזומן.</t>
  </si>
  <si>
    <t>ב. הציגו את ההכנסה שתירשם בדוח רווח והפסד של החברה לפי בסיס צבירה.</t>
  </si>
  <si>
    <t>ג. הציגו את פקודת ההתאמה / ״פקודת החתך״ שתירשם בכל שנה.</t>
  </si>
  <si>
    <t xml:space="preserve">ד. הציגו את יתרת החתך לתום כל אחת מהשנים, כולל שם היתרה, סכום וסיווג (נכס / התחייבות). </t>
  </si>
  <si>
    <t xml:space="preserve">חברת ״האחיינית״ בע״מ (להלן: ״החברה״) עוסקת במתן שירות בתחומים שונים. להלן נתונים הקשורים לעסקת  </t>
  </si>
  <si>
    <t>התקשרות עם לקוח של החברה בדבר פרויקט לאספקת שירות מתמשך שייפרס על פני מספר שנים, כדלקמן:</t>
  </si>
  <si>
    <t>חברת ״חשבונאים וממשיכים״ בע״מ עוסקת במגוון רחב של פעילויות עסקיות, ומבצעת פעילויות רבות תוך מתן</t>
  </si>
  <si>
    <t>אשראי נדיב ללקוחותיה. להלן נתונים בדבר עסקאות ואירועים שהתרחשו בחברה בשנים 2021 ו-2022:</t>
  </si>
  <si>
    <t>ליום 1 בינואר 2021 היא 80,000 ש״ח ושיעור ההלח״מ ל-1 בינואר 2021 הוא 3%.</t>
  </si>
  <si>
    <t>בשנת 2021, החברה סיפקה שירותים באשראי בהיקף של 600,000 ש״ח, ביצעה גבייה מלקוחות בהיקף 450,000 ש״ח,</t>
  </si>
  <si>
    <t xml:space="preserve">בשנת 2022, החברה סיפקה שירותים בהיקף כולל של 800,000 ש״ח, כאשר מתוך סכום זה, מכירות בהיקף של  </t>
  </si>
  <si>
    <t>כ-150,000 ש״ח בוצעו במזומן והיתר מכירות באשראי. כמו כן, ביצעה החברה גבייה מלקוחות בסכום של 230,000 ש״ח</t>
  </si>
  <si>
    <t>וכן גילתה ורשמה חוב אבוד בסך 3,000 ש״ח. נכון ליום 31.12.2022, מעריכה החברה את שיעור ההלח״מ לפי</t>
  </si>
  <si>
    <t>כ-5% מיתרת הלקוחות המעודכנת.</t>
  </si>
  <si>
    <t>בנתונים אלו, השיבו לנדרשים הבאים:</t>
  </si>
  <si>
    <t>שאלה 3</t>
  </si>
  <si>
    <t>להלן נתונים בדבר תנועות במלאי בחברת ״אביבים ותותחים״ בע״מ בשנה מסוימת. נתוני העלויות והמחירים</t>
  </si>
  <si>
    <t>הם בש״ח:</t>
  </si>
  <si>
    <t>מכירות שבוצעו התקופה</t>
  </si>
  <si>
    <t>א. מהי עלות מלאי הסגירה ליום 31.12.2022 בהנחה שהחברה מנהלת את המלאי בשיטת FIFO?</t>
  </si>
  <si>
    <t>ג. בהנחה שמחיר המכירה הצפוי לכל יחידת מלאי שנותרה ליום 31.12.2022 הוא 100 ש״ח, וכי עלויות ההשלמה</t>
  </si>
  <si>
    <t xml:space="preserve">והמכירה הן 17 ש״ח, הציגו את התחשיב המלא כולל כל צעדי המשנה כדי לחשב את הרווח הגולמי בהנחה </t>
  </si>
  <si>
    <t>שהמלאי מנוהל בשיטת הממוצע המשוקלל התמידי.</t>
  </si>
  <si>
    <t>ב. מהי עלות מלאי הסגירה בהנחה שהמלאי מנוהל בשיטת הממוצע המשוקלל התמידי (ממוצע נע)?</t>
  </si>
  <si>
    <t>שאלה 4</t>
  </si>
  <si>
    <t>חברת ה״מומחים בטכנולוגיה״ רכשה בתאריך 1.1.2020 מכונה לחימום נקניק לעובדי המשרד. עלות המכונה</t>
  </si>
  <si>
    <t xml:space="preserve">היא 100,000 ש״ח, החברה שילמה על ההובלה שלה 20,000 ש״ח, על ההרכבה שלה 10,000 ש״ח, על בדיקת </t>
  </si>
  <si>
    <t>התקינות המתחייבת על פי החוק 15,000 ש״ח ועל חשמל היא משלמת כל שנה בגין ההפעלה 7,000 ש״ח.</t>
  </si>
  <si>
    <t>אורך החיים של המכונה הוא 10 שנים. המכונה הפכה לזמינה לשימוש ב-1.4.2020, וערך השייר שלה מהווה</t>
  </si>
  <si>
    <t>שיעור של 10% מעלותה הכוללת בהתאם לעקרונות החשבונאיים שנלמדו. שיטת ההפחתה של המכונה היא</t>
  </si>
  <si>
    <t xml:space="preserve">סכום ספרות השנים היורד (סס״י) ובתאריך 30.9.2023 היא נמכרה במפתיע בתמורה שהובילה להיווצרות </t>
  </si>
  <si>
    <t xml:space="preserve">רווח הון בסך 9,000 ש״ח. </t>
  </si>
  <si>
    <t>א. חשבו והציגו את כל היתרות המאזניות והתוצאתיות בגין הפריט עבור כל אחת מהשנים שבהן הוא הוחזק,</t>
  </si>
  <si>
    <t>לרבות: עלות, פחת, נצבר, ערך ספרים / עלות מופחתת, הוצאות פחת, רווח / הפסד הון.</t>
  </si>
  <si>
    <t>ב. מהי תמורת המכירה של הפריט?</t>
  </si>
  <si>
    <t>הרצאה 13 - שאלות קצרות במגוון נושאים (זום בלבד + הקלטה)</t>
  </si>
  <si>
    <t>ונכון לתום שנת 2021, שיעור ההלח״מ מוערך לפי 4% מיתרת הלקוחות המעודכנת. ידוע כי יתרת הלקוחות ברוטו</t>
  </si>
  <si>
    <t>א. מהי יתרת הלקוחות נטו לתום כל אחת מהשנים 2021 ו-2022?</t>
  </si>
  <si>
    <t>ב. מהן הוצאות ההלח״מ שתכללנה בדוח רווח והפסד של החברה לכל אחת מהשנים 2021 ו-2022?</t>
  </si>
  <si>
    <t>שם המרצה:</t>
  </si>
  <si>
    <t>דוא״ל:</t>
  </si>
  <si>
    <t>shay.tsaban@gmail.com</t>
  </si>
  <si>
    <t>לציין תמיד: ״מבוא לחשבונאות פיננסית - עמק יזרעאל״.</t>
  </si>
  <si>
    <t>טלפון:</t>
  </si>
  <si>
    <t>050-6551519</t>
  </si>
  <si>
    <t>לפניות דחופות / מילואים וכו׳</t>
  </si>
  <si>
    <t>כל חומרי ההרצאות, התרגילים והפתרונות - יופיעו בקובץ זה, בחלוקה לגיליונות.</t>
  </si>
  <si>
    <t>הקלטות השיעורים יועלו לחומרי למידה באתר.</t>
  </si>
  <si>
    <t xml:space="preserve">מטרת החשבונאות הפיננסית [סוג של מערכת לייצור מידע] היא לספק מידע כספי [פיננסי] שימושי לצרכים של קבלת החלטות </t>
  </si>
  <si>
    <t>בשפה פשוטה - המידע שמספקת החשבונאות הפיננסית יעזור להשיב על השאלה - האם כדאי להשקיע בחברה?</t>
  </si>
  <si>
    <t>או האם בתור בנק, ״הגיוני״ להעניק לחברה הלוואה?</t>
  </si>
  <si>
    <t>לשם מענה לשאלות אלו, אנו זקוקים למידע לגביה.</t>
  </si>
  <si>
    <t>מידע שיעזור להסיק האם ועד כמה החברה צפויה להניב ערך (רווחים / עליית ערך) למשקיעים;</t>
  </si>
  <si>
    <t xml:space="preserve">ועד כמה קיים סיכוי גבוה להחזר הקרן והריבית (במקרה של הלוואות). </t>
  </si>
  <si>
    <t>המחשה לגבי סוג הערכים בדוח רווח והפסד וחשיבותם:</t>
  </si>
  <si>
    <t>טרם הגיע (או שולם בתקופה אחרת). הכנסות, אם כך, משקפות פעילות ולא מזומן.</t>
  </si>
  <si>
    <t>האם כשכסף נכנס מתעדים הכנסה?</t>
  </si>
  <si>
    <t>כאשר מוכרים / מעניקים שירות!</t>
  </si>
  <si>
    <r>
      <t xml:space="preserve">כך שלמעשה, בדוח רווח והפסד, </t>
    </r>
    <r>
      <rPr>
        <b/>
        <sz val="12"/>
        <rFont val="David"/>
        <family val="2"/>
        <charset val="177"/>
      </rPr>
      <t>הכנסות</t>
    </r>
    <r>
      <rPr>
        <sz val="12"/>
        <rFont val="David"/>
        <family val="2"/>
        <charset val="177"/>
      </rPr>
      <t xml:space="preserve"> יתועדו ויירשמו כאשר חברה מבצעת פעילויות כגון מכירה או מתן שירות, גם אם הכסף</t>
    </r>
  </si>
  <si>
    <t>במועד אחר.</t>
  </si>
  <si>
    <r>
      <rPr>
        <b/>
        <sz val="12"/>
        <rFont val="David"/>
        <family val="2"/>
        <charset val="177"/>
      </rPr>
      <t>הוצאות</t>
    </r>
    <r>
      <rPr>
        <sz val="12"/>
        <rFont val="David"/>
        <family val="2"/>
        <charset val="177"/>
      </rPr>
      <t xml:space="preserve"> יתועדו ויירשמו כאשר חברה מבצעת פעילויות שצורכות ערך (צריכת שירותים או משאבים) גם אם הכסף משולם</t>
    </r>
  </si>
  <si>
    <t>תרגול נוסף - פרקטי יותר לגבי הכנסות והוצאות וההבדל בינן לבין מזומן</t>
  </si>
  <si>
    <t>מכונות וציוד</t>
  </si>
  <si>
    <t>נדל״ן / מבנים</t>
  </si>
  <si>
    <t xml:space="preserve">פקדונות </t>
  </si>
  <si>
    <t>משכנתאות (הלוואה לזמן ארוך)</t>
  </si>
  <si>
    <t>סך ההתחייבויות</t>
  </si>
  <si>
    <t>השקעת הבעלים (הון מניות ופרמיה)</t>
  </si>
  <si>
    <t>רווח שנצבר (עודפים)</t>
  </si>
  <si>
    <t>סה״כ התחייבויות והון עצמי</t>
  </si>
  <si>
    <t>למעשה: הדוח על המצב הכספי (המאזן) נשען על ההבנה שלכל נכס חייב להיות מקור מימון (מה שיצר אותו, איפשר אותו):</t>
  </si>
  <si>
    <t>או התחייבויות או הון עצמי, כך שבסך הכל, תמיד מתקיים: נכסים = התחייבויות + הון עצמי.</t>
  </si>
  <si>
    <t>פריטי רכוש (מזומן, מלאי, מכונות וכיו״ב) וכן פריטים אחרים המשקפים צפי לקבלת כסף (כגון: חוב לקוח כלפי החברה).</t>
  </si>
  <si>
    <t>פריט אשר כתוצאה ממנו צפויות לזרום מהחברה (החוצה) הטבות כלכליות (כגון הלוואה).</t>
  </si>
  <si>
    <t xml:space="preserve">בשלב זה: כולל השקעת בעלים (הון מניות / פרמיה) וכן רווח שנצבר (עודפים). </t>
  </si>
  <si>
    <t>חברה צרכה שירותים מספק בשווי 100,000 ש״ח.</t>
  </si>
  <si>
    <t>ראשית, התייחסות לבקשות הקהל:</t>
  </si>
  <si>
    <t>הבנתי שהיה אתגר מסויים בתרגול ותחושת פער כזו או אחרת, לכן נטפל בה תחילה. אחרי שנסגור את הסוגיה,</t>
  </si>
  <si>
    <t>נמשיך הלאה לרענון, דיון ומשמעויות בהיבט הדוחות הכספיים של סוגי חשבונות שונים.</t>
  </si>
  <si>
    <r>
      <t xml:space="preserve">המפגש הקודם עסק בעיקרו בהגדרות: </t>
    </r>
    <r>
      <rPr>
        <b/>
        <sz val="12"/>
        <color theme="1"/>
        <rFont val="David"/>
        <family val="2"/>
        <charset val="177"/>
      </rPr>
      <t>נכסים</t>
    </r>
    <r>
      <rPr>
        <sz val="12"/>
        <color theme="1"/>
        <rFont val="David"/>
        <family val="2"/>
        <charset val="177"/>
      </rPr>
      <t xml:space="preserve"> (</t>
    </r>
    <r>
      <rPr>
        <u/>
        <sz val="12"/>
        <color theme="1"/>
        <rFont val="David"/>
        <family val="2"/>
        <charset val="177"/>
      </rPr>
      <t>משאבים</t>
    </r>
    <r>
      <rPr>
        <sz val="12"/>
        <color theme="1"/>
        <rFont val="David"/>
        <family val="2"/>
        <charset val="177"/>
      </rPr>
      <t xml:space="preserve">, </t>
    </r>
    <r>
      <rPr>
        <u/>
        <sz val="12"/>
        <color theme="1"/>
        <rFont val="David"/>
        <family val="2"/>
        <charset val="177"/>
      </rPr>
      <t>צפי להטבה כלכלית</t>
    </r>
    <r>
      <rPr>
        <sz val="12"/>
        <color theme="1"/>
        <rFont val="David"/>
        <family val="2"/>
        <charset val="177"/>
      </rPr>
      <t xml:space="preserve">) אל מול </t>
    </r>
    <r>
      <rPr>
        <b/>
        <sz val="12"/>
        <color theme="1"/>
        <rFont val="David"/>
        <family val="2"/>
        <charset val="177"/>
      </rPr>
      <t>מקורות המימון</t>
    </r>
    <r>
      <rPr>
        <sz val="12"/>
        <color theme="1"/>
        <rFont val="David"/>
        <family val="2"/>
        <charset val="177"/>
      </rPr>
      <t xml:space="preserve"> ששימשו</t>
    </r>
  </si>
  <si>
    <r>
      <t>בהשגתם (</t>
    </r>
    <r>
      <rPr>
        <b/>
        <u/>
        <sz val="12"/>
        <color theme="1"/>
        <rFont val="David"/>
        <family val="2"/>
        <charset val="177"/>
      </rPr>
      <t>התחייבויות</t>
    </r>
    <r>
      <rPr>
        <sz val="12"/>
        <color theme="1"/>
        <rFont val="David"/>
        <family val="2"/>
        <charset val="177"/>
      </rPr>
      <t xml:space="preserve"> ו</t>
    </r>
    <r>
      <rPr>
        <b/>
        <u/>
        <sz val="12"/>
        <color theme="1"/>
        <rFont val="David"/>
        <family val="2"/>
        <charset val="177"/>
      </rPr>
      <t>הון עצמי</t>
    </r>
    <r>
      <rPr>
        <sz val="12"/>
        <color theme="1"/>
        <rFont val="David"/>
        <family val="2"/>
        <charset val="177"/>
      </rPr>
      <t>).</t>
    </r>
  </si>
  <si>
    <r>
      <t xml:space="preserve">הללו. כלומר, </t>
    </r>
    <r>
      <rPr>
        <b/>
        <sz val="12"/>
        <color theme="1"/>
        <rFont val="David"/>
        <family val="2"/>
        <charset val="177"/>
      </rPr>
      <t>נסווג את היתרות בהתאם לנלמד</t>
    </r>
    <r>
      <rPr>
        <sz val="12"/>
        <color theme="1"/>
        <rFont val="David"/>
        <family val="2"/>
        <charset val="177"/>
      </rPr>
      <t xml:space="preserve">, ולאחר מכן נעסוק </t>
    </r>
    <r>
      <rPr>
        <b/>
        <sz val="12"/>
        <color theme="1"/>
        <rFont val="David"/>
        <family val="2"/>
        <charset val="177"/>
      </rPr>
      <t>במתכונת עריכה מלאה</t>
    </r>
    <r>
      <rPr>
        <sz val="12"/>
        <color theme="1"/>
        <rFont val="David"/>
        <family val="2"/>
        <charset val="177"/>
      </rPr>
      <t>, כולל כזו שמבהירה</t>
    </r>
  </si>
  <si>
    <r>
      <rPr>
        <b/>
        <sz val="12"/>
        <color rgb="FF0070C0"/>
        <rFont val="David"/>
        <family val="2"/>
        <charset val="177"/>
      </rPr>
      <t>דוח רווח והפסד</t>
    </r>
    <r>
      <rPr>
        <sz val="12"/>
        <color theme="1"/>
        <rFont val="David"/>
        <family val="2"/>
        <charset val="177"/>
      </rPr>
      <t xml:space="preserve"> מפרט בדבר הכנסות החברה והוצאותיה, בחלוקה לתחומי פעילות. </t>
    </r>
  </si>
  <si>
    <t>בקצרה: דווח רווח והפסד מציג פעילויות; סעיפיו הם סוגי הפעילויות שהחברה מבצעת.</t>
  </si>
  <si>
    <t>מכירות (הכנסות ממכירות)</t>
  </si>
  <si>
    <t>באופיס דיפו: מכירות ציוד משרדי; בכלמוביל: מכירות כלי רכב</t>
  </si>
  <si>
    <t>באופיס דיפו: כמה עלו המוצרים שנמכרו (הציוד המשרדי, כלי רכב)</t>
  </si>
  <si>
    <t>עלות המכירות (עלות המכר)</t>
  </si>
  <si>
    <t>פעילות מיוחדת / שאיננה מלב העסקים, כגון חברה שמוכרת נקניקיות - הניבה רוווח חד פעמי ממכירת מכונית המנכ״ל</t>
  </si>
  <si>
    <r>
      <t xml:space="preserve">המבנה הבסיסי של </t>
    </r>
    <r>
      <rPr>
        <b/>
        <u/>
        <sz val="12"/>
        <color theme="1"/>
        <rFont val="David"/>
        <family val="2"/>
        <charset val="177"/>
      </rPr>
      <t>דוח רווח והפסד</t>
    </r>
    <r>
      <rPr>
        <b/>
        <sz val="12"/>
        <color theme="1"/>
        <rFont val="David"/>
        <family val="2"/>
        <charset val="177"/>
      </rPr>
      <t xml:space="preserve"> בחברה מסחרית (שבה עוסקים בקורס), המשווקת ומוכרת מוצרים, הוא כדלקמן:</t>
    </r>
  </si>
  <si>
    <t>דוח כספי מס׳ 1 - רווח והפסד</t>
  </si>
  <si>
    <t>דוח כספי מס׳ 2 - המאזן (הדוח על המצב הכספי)</t>
  </si>
  <si>
    <r>
      <t xml:space="preserve">נכסים </t>
    </r>
    <r>
      <rPr>
        <b/>
        <u/>
        <sz val="12"/>
        <color theme="1"/>
        <rFont val="David"/>
        <family val="2"/>
        <charset val="177"/>
      </rPr>
      <t>שוטפים</t>
    </r>
    <r>
      <rPr>
        <b/>
        <sz val="12"/>
        <color theme="1"/>
        <rFont val="David"/>
        <family val="2"/>
        <charset val="177"/>
      </rPr>
      <t xml:space="preserve"> (עד שנה)</t>
    </r>
  </si>
  <si>
    <t>הוצאות פרסום - דיוור ישיר (פרסום בדואר)</t>
  </si>
  <si>
    <t>עמלות בנק (הוצאות בגין שירותים בנקאיים)</t>
  </si>
  <si>
    <r>
      <t xml:space="preserve">שיקים (המחאות) לקבל - </t>
    </r>
    <r>
      <rPr>
        <sz val="10"/>
        <rFont val="David"/>
        <family val="2"/>
        <charset val="177"/>
      </rPr>
      <t>שיק דחוי שקיבלנו</t>
    </r>
  </si>
  <si>
    <r>
      <t xml:space="preserve">שיקים (המחאות) לפירעון - </t>
    </r>
    <r>
      <rPr>
        <sz val="9"/>
        <rFont val="David"/>
        <family val="2"/>
        <charset val="177"/>
      </rPr>
      <t>שיק דחוי שנתתי</t>
    </r>
  </si>
  <si>
    <t>הון עצמי ליום 1.1.2020 (יתרת פתיחה)</t>
  </si>
  <si>
    <t>משיכת יתר (אוברדראפט/מינוס בבנק)</t>
  </si>
  <si>
    <r>
      <t xml:space="preserve">נכסים = התחייבויות + </t>
    </r>
    <r>
      <rPr>
        <sz val="12"/>
        <color rgb="FFFF0000"/>
        <rFont val="David"/>
        <family val="2"/>
        <charset val="177"/>
      </rPr>
      <t>הון עצמי</t>
    </r>
    <r>
      <rPr>
        <sz val="12"/>
        <rFont val="David"/>
        <family val="2"/>
        <charset val="177"/>
      </rPr>
      <t xml:space="preserve"> [כשכל הערכים הם ל-31.12]</t>
    </r>
  </si>
  <si>
    <t>ההון העצמי כולל את ההון לתחילת השנה,</t>
  </si>
  <si>
    <t>בתוספת השקעות בעלים השנה (אין כאן),</t>
  </si>
  <si>
    <t>ובתוספת רווח השנה</t>
  </si>
  <si>
    <t>הרווח הוא ההכנסות בניכוי ההוצאות</t>
  </si>
  <si>
    <t>נעביר את ההוצאות שמופיעות בסימן שלילי לאגף ימין, והן יהפכו לבעלות סימן חיובי:</t>
  </si>
  <si>
    <t>ונקבל משוואה:</t>
  </si>
  <si>
    <t>,+ או (-)</t>
  </si>
  <si>
    <t>באופן כללי, כוללות הוצאות מימון הוצאות פיננסיות כגון: הוצאות ריבית, הפסד מניירות ערך, עמלות בנק וכיוצא בזה.</t>
  </si>
  <si>
    <t>משלמת ללקוח בעד ״הקדמת התשלום״. לכן, הנחת מזומן ללקוח מאד דומה לריבית בגין הלוואה.</t>
  </si>
  <si>
    <t>בנוסף, כוללות הוצאות המימון הנחות מזומן ללקוחות. מדוע? משום שכאשר חברה מעניקה הנחת מזומן, היא למעשה</t>
  </si>
  <si>
    <t xml:space="preserve">זאת בשונה מהנחה ״מסחרית ללקוח״ שהיא הנחה ״כללית יותר״ ולכן מקוזז (מקטינה) את המכירות. </t>
  </si>
  <si>
    <t>מכירות (כולל התייחסות להנחה מסחרית)</t>
  </si>
  <si>
    <t>הוצאות מימון (כולל התייחסות להנחת מזומן ולהבדל בינה לבין הנחה מסחרית ללקוח)</t>
  </si>
  <si>
    <t>הכנסות מימון כוללות הכנסות ריבית, רווח מהשקעה פיננסית (כגון השקעה במניות הנסחרות בבורסה).</t>
  </si>
  <si>
    <t>בנוסף, כוללות הכנסות המימון הנחות מזומן שהתקבלו מספקים. מדוע? משום שכאשר ספק מעניק לנו הנחת מזומן,</t>
  </si>
  <si>
    <t xml:space="preserve">הוא למעשה משלם לנו בעד זה ״שהקדמנו את התשלום לספק״. כלומר - הענקנו אשראי לספק. </t>
  </si>
  <si>
    <t xml:space="preserve">לכן, ההטבה הנובעת מכך היא כעין הכנסת ריבית. </t>
  </si>
  <si>
    <t>סוגי הנחות וסיווגן:</t>
  </si>
  <si>
    <t>ללקוח</t>
  </si>
  <si>
    <t>שנתתי</t>
  </si>
  <si>
    <t>שהתקבלה</t>
  </si>
  <si>
    <t>מספק</t>
  </si>
  <si>
    <t>הקטנת</t>
  </si>
  <si>
    <t>ההכנסה</t>
  </si>
  <si>
    <t>ממכירות</t>
  </si>
  <si>
    <t>הקניות</t>
  </si>
  <si>
    <t>מספקים</t>
  </si>
  <si>
    <t>מימון</t>
  </si>
  <si>
    <r>
      <t xml:space="preserve">הנחה </t>
    </r>
    <r>
      <rPr>
        <b/>
        <sz val="12"/>
        <color rgb="FF00B050"/>
        <rFont val="David"/>
        <family val="2"/>
        <charset val="177"/>
      </rPr>
      <t>מסחרית</t>
    </r>
  </si>
  <si>
    <r>
      <t xml:space="preserve">הנחת </t>
    </r>
    <r>
      <rPr>
        <b/>
        <sz val="12"/>
        <color rgb="FFFF0000"/>
        <rFont val="David"/>
        <family val="2"/>
        <charset val="177"/>
      </rPr>
      <t>מזומן</t>
    </r>
  </si>
  <si>
    <t>לקוחות הם הנכס המייצג את חוב לקוחות החברה כלפיה. זהו נכס, משום שצפויה גבייה שלהם (שתכניס משאבים</t>
  </si>
  <si>
    <t xml:space="preserve">לחברה). </t>
  </si>
  <si>
    <t>סעיף הלקוחות בדוחות הכספיים יכול לכלול את הרכיבים הבאים:</t>
  </si>
  <si>
    <t>לקוחות (״ברוטו״)</t>
  </si>
  <si>
    <t>שיקים (המחאות) לקבל</t>
  </si>
  <si>
    <t>גם שיקים לקבל הם חלק מהלקוחות, משום שמדובר בחוב לקוחות כלפינו, כל עוד השיק הדחוי שקיבלנו טרם נפרע.</t>
  </si>
  <si>
    <t>בניכוי הפרשה לחובות מסופקים (הלח״מ)</t>
  </si>
  <si>
    <t xml:space="preserve">לקוחות (״נטו״) = סעיף הלקוחות שיוצג </t>
  </si>
  <si>
    <t>במאזן</t>
  </si>
  <si>
    <t>מהי המשמעות של ״הפרשה לחובות מסופקים״?</t>
  </si>
  <si>
    <t>החוב הבעייתי הזה נקרא ״הלח״מ״ - ראשי תיבות של ״הפרשה לחובות מסופקים״ = חובות שגבייתם מוטלת בספק.</t>
  </si>
  <si>
    <t>במקרה כזה, הלקוחות יוצגו במאזן בסכום של 95 מיליון.</t>
  </si>
  <si>
    <r>
      <t xml:space="preserve">נערוך דיון נרחב בנושא ממש בקרוב בפרק שלם של הקורס. אבל על קצה המזלג: נניח שלקוחות חייבים לחברה </t>
    </r>
    <r>
      <rPr>
        <b/>
        <sz val="12"/>
        <color theme="1"/>
        <rFont val="David"/>
        <family val="2"/>
        <charset val="177"/>
      </rPr>
      <t>100</t>
    </r>
    <r>
      <rPr>
        <sz val="12"/>
        <color theme="1"/>
        <rFont val="David"/>
        <family val="2"/>
        <charset val="177"/>
      </rPr>
      <t xml:space="preserve"> מיליון ש״ח.</t>
    </r>
  </si>
  <si>
    <r>
      <t xml:space="preserve">אבל בשל קשיים בפירעון החוב (הלקוחות בקשיים פיננסיים) מעריכה הבאה שחלק של </t>
    </r>
    <r>
      <rPr>
        <b/>
        <sz val="12"/>
        <color theme="1"/>
        <rFont val="David"/>
        <family val="2"/>
        <charset val="177"/>
      </rPr>
      <t>5</t>
    </r>
    <r>
      <rPr>
        <sz val="12"/>
        <color theme="1"/>
        <rFont val="David"/>
        <family val="2"/>
        <charset val="177"/>
      </rPr>
      <t xml:space="preserve"> מיליון ש״ח ככל הנראה לא ייגבה.</t>
    </r>
  </si>
  <si>
    <t>לקוחות (נכס)</t>
  </si>
  <si>
    <t>מעבר לערכים אלו, במידה וקיים נתון בגין פחת נצבר (לעתים מסומן בתור פחנ״צ), מדובר בנתון שיש לנכות מערך הפריטים</t>
  </si>
  <si>
    <t xml:space="preserve">כדי להגיע לאופן הצגתם כנכס רכוש קבוע בנכסי המאזן. </t>
  </si>
  <si>
    <t>נניח למשל שבנתוני השאלה היו מופיעים גם נתונים לגבי:</t>
  </si>
  <si>
    <t>פחת נצבר מחשבים:</t>
  </si>
  <si>
    <t>פחת נצבר ריהוט - מנכ״ל:</t>
  </si>
  <si>
    <t>ריהוט</t>
  </si>
  <si>
    <t>ערך נטו</t>
  </si>
  <si>
    <t>להצגה</t>
  </si>
  <si>
    <t>פחנ״צ</t>
  </si>
  <si>
    <t>שימו לב להבדל בין פחת נצבר שמקטין נכסים (נכסים במינוס) במאזן, לבין הוצאות פחת שהן הוצאה ברווח והפסד (הוצאות הנהלה וכלליות,</t>
  </si>
  <si>
    <t xml:space="preserve">אלא אם יש סיבה טובה להניח אחרת). </t>
  </si>
  <si>
    <t>דוח רווח והפסד נפתח בחברה מסחרית (חברה שקונה ומוכרת מוצרים כעיסוק עיקרי) בשורות הבאות:</t>
  </si>
  <si>
    <t>מכירות (מכירות המוצרים העיקריים בחברה) - הכנסות</t>
  </si>
  <si>
    <t>עלות המכירות (עלות המוצרים שנמכרו) - הוצאה</t>
  </si>
  <si>
    <t>רווח גולמי - ההפרש בין המכירות לעלות המכר</t>
  </si>
  <si>
    <r>
      <rPr>
        <b/>
        <sz val="12"/>
        <color theme="0"/>
        <rFont val="David"/>
        <family val="2"/>
        <charset val="177"/>
      </rPr>
      <t>,</t>
    </r>
    <r>
      <rPr>
        <b/>
        <sz val="12"/>
        <color theme="1"/>
        <rFont val="David"/>
        <family val="2"/>
        <charset val="177"/>
      </rPr>
      <t>=</t>
    </r>
  </si>
  <si>
    <r>
      <t xml:space="preserve">רווח גולמי הוא הרווח </t>
    </r>
    <r>
      <rPr>
        <u/>
        <sz val="12"/>
        <color theme="1"/>
        <rFont val="David"/>
        <family val="2"/>
        <charset val="177"/>
      </rPr>
      <t>הבסיסי ביותר</t>
    </r>
    <r>
      <rPr>
        <sz val="12"/>
        <color theme="1"/>
        <rFont val="David"/>
        <family val="2"/>
        <charset val="177"/>
      </rPr>
      <t xml:space="preserve"> - המייצג את ההפרש בין ההכנסות העיקריות בחברה (ממכירות) </t>
    </r>
  </si>
  <si>
    <r>
      <t xml:space="preserve">הנחה מסחרית: כל הנחה </t>
    </r>
    <r>
      <rPr>
        <b/>
        <sz val="12"/>
        <color theme="1"/>
        <rFont val="David"/>
        <family val="2"/>
        <charset val="177"/>
      </rPr>
      <t>שאיננה</t>
    </r>
    <r>
      <rPr>
        <sz val="12"/>
        <color theme="1"/>
        <rFont val="David"/>
        <family val="2"/>
        <charset val="177"/>
      </rPr>
      <t xml:space="preserve"> הנחת מזומן.</t>
    </r>
  </si>
  <si>
    <t>הנחות מזומן הן הוצאות מימון / הכנסות מימון,</t>
  </si>
  <si>
    <t>ואינן נכללות במכירות / בעלות המכירות.</t>
  </si>
  <si>
    <r>
      <t xml:space="preserve">בניכוי הנחות </t>
    </r>
    <r>
      <rPr>
        <b/>
        <sz val="12"/>
        <color rgb="FFFF0000"/>
        <rFont val="David"/>
        <family val="2"/>
        <charset val="177"/>
      </rPr>
      <t>מסחריות</t>
    </r>
    <r>
      <rPr>
        <sz val="12"/>
        <color theme="1"/>
        <rFont val="David"/>
        <family val="2"/>
        <charset val="177"/>
      </rPr>
      <t xml:space="preserve"> ללקוחות / שנתתי</t>
    </r>
  </si>
  <si>
    <t>מלאי לתחילת השנה</t>
  </si>
  <si>
    <t>קניות בניכוי הנחות והחזרות</t>
  </si>
  <si>
    <t>מלאי לתום השנה</t>
  </si>
  <si>
    <t>מלאי פתיחה + קניות</t>
  </si>
  <si>
    <t>400-120=280</t>
  </si>
  <si>
    <t>״קניות״</t>
  </si>
  <si>
    <t xml:space="preserve">כל הנחה שאיננה הנחת מזומן. זכרו: הנחות מזומן הן בהוצאות / הכנסות מימון, </t>
  </si>
  <si>
    <t>ואינן חלק מעלות המכירות / רווח גולמי.</t>
  </si>
  <si>
    <t>קניות ״ברוטו״</t>
  </si>
  <si>
    <t>בניכוי החזרות לספקים</t>
  </si>
  <si>
    <t>בניכוי הנחות מסחריות מספקים</t>
  </si>
  <si>
    <t>בניכוי מלאי סגירה</t>
  </si>
  <si>
    <t>הכנסות +</t>
  </si>
  <si>
    <t xml:space="preserve">ח. הפקדון הבנקאי מסעיף (ז) לזמן קצר נפרע בסכום כולל של 16,000 ש״ח (קרן וריבית יחד). </t>
  </si>
  <si>
    <t>עלייה בנכס המזומן</t>
  </si>
  <si>
    <t>עלייה בנכס לקוחות</t>
  </si>
  <si>
    <t>עלייה בהון העצמי</t>
  </si>
  <si>
    <t>בעסקה זו, שולמו הוצאות חשמל במזומן בסך 5,000 ש״ח. ההוצאה מקטינה את ההון העצמי (חובה הוצאה)</t>
  </si>
  <si>
    <t>המזומן שהוא נכס קטן באותו סכום (זכות מזומן)</t>
  </si>
  <si>
    <t>בדיוק כמו סעיף ה, רק ששם ההוצאה שונה (הוצאות תפעוליות במקום הוצאות חשמל)</t>
  </si>
  <si>
    <t>כנתון: החברה הגדילה נכס שנקרא פיקדון לזמן קצר (נכסים גדלים בחובה)</t>
  </si>
  <si>
    <t>החברה הקטינה את נכס המזומן (נכסים קטנים בזכות)</t>
  </si>
  <si>
    <t>בעסקה מתואר שהתקבל מזומן (גידול במזומן, חובה) בסך 16,000</t>
  </si>
  <si>
    <t>כמו כן מתואר שהפקדון הוקטן (נפרע) - קיטון בנכס פקדון, זכות, בסך 15,000</t>
  </si>
  <si>
    <t>כמו כן, נוצרו הכנסות ריבית, שמגדילות את ההון - זכות, בסך 1,000</t>
  </si>
  <si>
    <t>נושא על: הכרה בהכנסות ובהוצאות - כולל רישומי התאמה / חשבונות חתך</t>
  </si>
  <si>
    <t>תהליך חשבונאי - תכל׳ס מה עושים:</t>
  </si>
  <si>
    <r>
      <t xml:space="preserve">א. רישום בסיסי של ההכנסה / ההוצאה </t>
    </r>
    <r>
      <rPr>
        <u/>
        <sz val="12"/>
        <color theme="1"/>
        <rFont val="David"/>
        <family val="2"/>
        <charset val="177"/>
      </rPr>
      <t>ברמת הנהלת החשבונות</t>
    </r>
    <r>
      <rPr>
        <sz val="12"/>
        <color theme="1"/>
        <rFont val="David"/>
        <family val="2"/>
        <charset val="177"/>
      </rPr>
      <t xml:space="preserve"> - לפי עיתוי האסמכתא (להנחתנו, </t>
    </r>
    <r>
      <rPr>
        <u/>
        <sz val="12"/>
        <color theme="1"/>
        <rFont val="David"/>
        <family val="2"/>
        <charset val="177"/>
      </rPr>
      <t>עיתוי זרימת המזומן</t>
    </r>
    <r>
      <rPr>
        <sz val="12"/>
        <color theme="1"/>
        <rFont val="David"/>
        <family val="2"/>
        <charset val="177"/>
      </rPr>
      <t>).</t>
    </r>
  </si>
  <si>
    <t>סכום הכנסה</t>
  </si>
  <si>
    <t>פקודה</t>
  </si>
  <si>
    <t>בהנהלת</t>
  </si>
  <si>
    <t>לפי: מזומן</t>
  </si>
  <si>
    <t>בפועל</t>
  </si>
  <si>
    <t>סופי</t>
  </si>
  <si>
    <t>לפי: שווי</t>
  </si>
  <si>
    <t>שני חלקים:</t>
  </si>
  <si>
    <t>סוכמים את המזומן (במצטבר)</t>
  </si>
  <si>
    <t>סוכמים את סך השירות (במצטבר)</t>
  </si>
  <si>
    <t>תבנית עבודה ברמה גבוהה מאד - לפני תרגול עצמי - הפרשי חתך בשאלות העוסקות בהכנסה:</t>
  </si>
  <si>
    <t>חשבונות (1)</t>
  </si>
  <si>
    <t>בדוח (2)</t>
  </si>
  <si>
    <r>
      <rPr>
        <sz val="12"/>
        <color theme="0"/>
        <rFont val="David"/>
        <family val="2"/>
        <charset val="177"/>
      </rPr>
      <t>,</t>
    </r>
    <r>
      <rPr>
        <sz val="12"/>
        <color theme="1"/>
        <rFont val="David"/>
        <family val="2"/>
        <charset val="177"/>
      </rPr>
      <t>(4)</t>
    </r>
  </si>
  <si>
    <r>
      <rPr>
        <sz val="12"/>
        <color theme="0"/>
        <rFont val="David"/>
        <family val="2"/>
        <charset val="177"/>
      </rPr>
      <t>,</t>
    </r>
    <r>
      <rPr>
        <sz val="12"/>
        <color theme="1"/>
        <rFont val="David"/>
        <family val="2"/>
        <charset val="177"/>
      </rPr>
      <t>(3)</t>
    </r>
  </si>
  <si>
    <t>ח׳ הכנסות 10
ז׳ הכנסות לקבל 10</t>
  </si>
  <si>
    <t>תקבול (מזומן)</t>
  </si>
  <si>
    <t>ח׳ מזומן 170
ז׳ הכנסות 170</t>
  </si>
  <si>
    <t>ח׳ מזומן 20
ז׳ הכנסות 20</t>
  </si>
  <si>
    <t>ח׳ מזומן 40
ז׳ הכנסות 40</t>
  </si>
  <si>
    <t>ח׳ מזומן 770
ז׳ הכנסות 770</t>
  </si>
  <si>
    <t>הכנסות מראש 70</t>
  </si>
  <si>
    <t>הכנסות לקבל 110</t>
  </si>
  <si>
    <t>הכנסות לקבל 370</t>
  </si>
  <si>
    <t>אין יתרת חתך :)</t>
  </si>
  <si>
    <t>ח׳ הכנסות 70
ז׳ הכנסות מראש 70</t>
  </si>
  <si>
    <t>ח׳ הכנסות מראש 70
ח׳ הכנסות לקבל 110
ז׳ הכנסות 180</t>
  </si>
  <si>
    <t>ח׳ הכנסות לקבל 260
ז׳ הכנסות 260</t>
  </si>
  <si>
    <t>ח׳ הכנסות 370
ז׳ הכנסות לקבל 370</t>
  </si>
  <si>
    <t>נדרש - השלימו את הטבלה הבאה (א) מהן פקודות היומן שנרשמו בהנהלת חשבונות (ב) מהי ההוצאה ברווח והפסד (ג) מהי פקודת החתך</t>
  </si>
  <si>
    <t>וכן (ד) מהי יתרת החתך לתום כל אחת מהשנים 2016 - 2020.</t>
  </si>
  <si>
    <t xml:space="preserve">בשאלה זו דנים בהוצאות (למה הוצאות ולא הכנסות? כי החברה משלמת / צורכת שירות). </t>
  </si>
  <si>
    <t>ח׳ הוצאות 320
ז׳ מזומן 320</t>
  </si>
  <si>
    <t>ח׳ הוצאות 110
ז׳ מזומן 110</t>
  </si>
  <si>
    <t>ח׳ הוצאות 70
ז׳ מזומן 70</t>
  </si>
  <si>
    <t>ח׳ הוצאות 80
ז׳ מזומן 80</t>
  </si>
  <si>
    <t>ח׳ הוצאות 460
ז׳ מזומן 460</t>
  </si>
  <si>
    <t>פקודת היומן בהנה״ח (הנהלת חשבונות) לפי מזומן תמיד תהיה: ח׳ הוצאות , ז׳ מזומן</t>
  </si>
  <si>
    <t xml:space="preserve">ההוצאה בדוח רווח והפסד = שווי הפעילות (ללא פקודה, הסכום עצמו). </t>
  </si>
  <si>
    <t>יתרת חתך / התחשבנות: ״מי חייב למי״:</t>
  </si>
  <si>
    <t>בתום כל שנה:</t>
  </si>
  <si>
    <t>סוכם את כל המזומן ששולם עד לאותה נקודה</t>
  </si>
  <si>
    <t>סוכם את כל השירות שנצרך (הוצאה) עד לאותה נקודה</t>
  </si>
  <si>
    <t>y</t>
  </si>
  <si>
    <t>x &gt; y</t>
  </si>
  <si>
    <t>הוצאות מראש (נכס)</t>
  </si>
  <si>
    <t>x - y</t>
  </si>
  <si>
    <t>y &gt; x</t>
  </si>
  <si>
    <t>הוצאות לשלם (התחייבות)</t>
  </si>
  <si>
    <t>y - x</t>
  </si>
  <si>
    <t xml:space="preserve">ג. החברה ב-2022 חתמה עם לקוח על הסכם לביצוע פרויקט שתמורתו הכוללת היא 800,000 ש״ח. </t>
  </si>
  <si>
    <t>הכנסות מראש (התחייבות)</t>
  </si>
  <si>
    <t>הכנסות לקבל (נכס)</t>
  </si>
  <si>
    <t>בשונה מסעיף א, שבו היה אירוע ״חדש״ שהחל ב-2022, ולכן פתרתי אותו כנדרש רק עבור 2022, כאן מדובר באירוע</t>
  </si>
  <si>
    <t>ישן, שהחל ב-2020. במצב כזה, ארצה להציג גם את ההשתלשלות  ההיסטורית (שנים קודמות) כדי להבין טוב יותר מה קרה.</t>
  </si>
  <si>
    <t>לא נתון מהו היקף השירות שנצרך בכל שנה;</t>
  </si>
  <si>
    <t>נעבוד לפי ברירת המחדל: שווי כולל של הסכם</t>
  </si>
  <si>
    <t>בחלוקה למספר השנים:</t>
  </si>
  <si>
    <t xml:space="preserve">120,000 / 4 = </t>
  </si>
  <si>
    <t>הוצאות מראש
נכס</t>
  </si>
  <si>
    <t>ח׳ הוצאות מראש 90
ז׳ הוצאות 90</t>
  </si>
  <si>
    <t>ז׳ הוצאות מראש 30
ח׳ הוצאות 30</t>
  </si>
  <si>
    <t>השנה 
הנדרשת!!!</t>
  </si>
  <si>
    <t>שאלה 4 - שאלה במתכונת ״רגילה״ על צד ההוצאות, כולל ״היפוך״ סוג יתרת החתך</t>
  </si>
  <si>
    <t xml:space="preserve">חברת ״ירין והנקניקים״ בע״מ חתמה על הסכם לצריכת שירותים מחברת ״אריאל ניזרי״ בע״מ. </t>
  </si>
  <si>
    <t>להלן נתונים בדבר סכומי התשלומים שבוצעו במזומן החל משנת חתימת ההסכם 2016 ועד לשנת 2021, וכן נתונים בדבר</t>
  </si>
  <si>
    <t>היקף השירות שצרכה חברת ״ירין והנקניקים״ בע״מ בכל אחת משנים אלו.</t>
  </si>
  <si>
    <t>סכום תשלום</t>
  </si>
  <si>
    <t xml:space="preserve">א. מהו סכום ההוצאה שתרשום חברת ״ירין״ ברמת הנהלת החשבונות בכל אחת מהשנים? ציינו פקודת יומן רלוונטית לרישום </t>
  </si>
  <si>
    <t>ההוצאה בהנהלת החשבונות.</t>
  </si>
  <si>
    <t>ב. מהו סכום ההוצאה הסופי כפי שייכלל בדוח רווח והפסד של החברה לכל אחת מהשנים?</t>
  </si>
  <si>
    <t>ג. מהי פקודת ההתאמה שתירשם בכל אחת מהשנים?</t>
  </si>
  <si>
    <t>ד. מהי יתרת החתך לתום כל אחת מהשנים? הקפידו לציין את שם היתרה, האם מדובר בנכס / התחייבות ואת הסכום העדכני</t>
  </si>
  <si>
    <t>לתום כל שנה.</t>
  </si>
  <si>
    <t xml:space="preserve">למרות שהנדרש מחולק למספר סעיפים, אין שום בעיה להשיב עליהם יחד בטבלה המרכזית / גיליון העבודה שלמדנו. </t>
  </si>
  <si>
    <t>פקודה הנה״ח</t>
  </si>
  <si>
    <t>ח׳ הוצאות 100
ז׳ מזומן 100</t>
  </si>
  <si>
    <t>ח׳ הוצאות 300
ז׳ מזומן 300</t>
  </si>
  <si>
    <t>ח׳ הוצאות 1300
ז׳ מזומן 1300</t>
  </si>
  <si>
    <t>הוצאה לפי 
שירות</t>
  </si>
  <si>
    <t xml:space="preserve">הוצאות לשלם (התחייבות) </t>
  </si>
  <si>
    <t xml:space="preserve">הוצאות מראש (נכס) </t>
  </si>
  <si>
    <t>בפקודת ההתאמה, עלינו. להזהר:</t>
  </si>
  <si>
    <t>א. אם לא היתה יתרת חתך לפני השנה הזו, או שהיתה יתרת חתך ״מאותו סוג״, אז הפקודה פשוטה: להגדיל או להקטין את היתרה בהתאם.</t>
  </si>
  <si>
    <t>ב. אם היתה יתרת חתך בשנה קודמת מסוג ״שונה״ (למשל: בשנה קודמת הוצאה מראש, וכעת הוצאה לשלם) אז הפקודה מורכבת.</t>
  </si>
  <si>
    <t>היא תכלול:</t>
  </si>
  <si>
    <t>ב.1. איפוס היתרה של שנה קודמת</t>
  </si>
  <si>
    <t>ב.2. רישום / יצירת היתרה העדכנית של השנה הנוכחית</t>
  </si>
  <si>
    <t>ח׳ הוצאות מראש 100
ז׳ הוצאות 100</t>
  </si>
  <si>
    <t>ז׳ הוצאות מראש 100
ז׳ הוצאות לשלם 600
ח׳ הוצאות 700</t>
  </si>
  <si>
    <t>ז׳ הוצאות לשלם 600
ח׳ הוצאות 600</t>
  </si>
  <si>
    <t>ח׳ הוצאות לשלם 300
ז׳ הוצאות 300</t>
  </si>
  <si>
    <t>ח׳ הוצאות לשלם 900
ח׳ הוצאות מראש 100
ז׳ הוצאות 1,000</t>
  </si>
  <si>
    <t>ז׳ הוצאות מראש 100
ח׳ הוצאות 100</t>
  </si>
  <si>
    <t>שאלה 5 - שאלה אמיתית ממבחן</t>
  </si>
  <si>
    <t>הנה״ח</t>
  </si>
  <si>
    <t>הכנסה סופית</t>
  </si>
  <si>
    <t>לפי</t>
  </si>
  <si>
    <t>המזומן</t>
  </si>
  <si>
    <t>שהתקבל</t>
  </si>
  <si>
    <t>ספציפית</t>
  </si>
  <si>
    <t>בשנה</t>
  </si>
  <si>
    <t>הנדונה</t>
  </si>
  <si>
    <t xml:space="preserve">שווי </t>
  </si>
  <si>
    <t>השירות</t>
  </si>
  <si>
    <t>שסופק</t>
  </si>
  <si>
    <t>בשנה הנדונה</t>
  </si>
  <si>
    <t xml:space="preserve">לפי ההפרשים בין סך התקבולים (כסף </t>
  </si>
  <si>
    <t>שקיבלתי) לבין סך השירות שסיפקתי</t>
  </si>
  <si>
    <t>במצטבר (או להפך):</t>
  </si>
  <si>
    <t>אם סיפקתי המון וקיבלתי מעט = הכנסות לקבל (נכס)</t>
  </si>
  <si>
    <t>אם סיפקתי מעט וקיבלתי המון = הכנסות מראש (התחייבות)</t>
  </si>
  <si>
    <t>ח׳ מזומן 170
ז׳ הכנסה 170</t>
  </si>
  <si>
    <t>ח׳ מזומן 600
ז׳ הכנסה 600</t>
  </si>
  <si>
    <t>הסבר ל-2023:</t>
  </si>
  <si>
    <t>סך השירות שסיפקנו בכל השנים יחד</t>
  </si>
  <si>
    <t>סך המזומן שקיבלנו לא כולל 2023</t>
  </si>
  <si>
    <t>לכן, המזומן שקיבלנו ב-2023 שמשלים לסך השירות הוא:</t>
  </si>
  <si>
    <t xml:space="preserve">100 + 200 + 300 + 400 = </t>
  </si>
  <si>
    <t xml:space="preserve">80 + 170 + 600 = </t>
  </si>
  <si>
    <t xml:space="preserve">1000 - 850 = </t>
  </si>
  <si>
    <t>ח׳ מזומן 150
ז׳ הכנסה 150</t>
  </si>
  <si>
    <t>ח׳ הכנסות לקבל 20
ז׳ הכנסות 20</t>
  </si>
  <si>
    <t>ז׳ הכנסות לקבל 50
ז׳ הכנסות מראש 250
ח׳ הכנסות 300</t>
  </si>
  <si>
    <t>ח׳ הכנסות לקבל 30
ז׳ הכנסות 30</t>
  </si>
  <si>
    <t>ח׳ הכנסות מראש 250
ז׳ הכנסות 250</t>
  </si>
  <si>
    <t>הוצאות הלח״מ (הוצאות הפרשה לחומ״ס)</t>
  </si>
  <si>
    <t>בתאריך 1.1.2012, מהו הסכום נטו שבו תוצג המכונה במאזן לימים 31.12.2012, 31.12.2013, 31.12.2014, בהינתן</t>
  </si>
  <si>
    <t>ששיטת הפחת היא ״הקו הישר״.</t>
  </si>
  <si>
    <t>מכונת יוקרה לחימום נקניק: 100,000 ש״ח</t>
  </si>
  <si>
    <t>המכונה מופחתת בשיטת הקו הישר.</t>
  </si>
  <si>
    <t>המחיר הרגיל:</t>
  </si>
  <si>
    <t>המחיר ״שלנו״ מבצע:</t>
  </si>
  <si>
    <t>Black Friday</t>
  </si>
  <si>
    <t xml:space="preserve">בחלוף 4 וחצי שנים ממועד הרכישה - 1/7/2017, בעקבות הרעלות קיבה מרובות </t>
  </si>
  <si>
    <r>
      <t xml:space="preserve">והפכה לזמינה לשימוש ב-1.5.2013. </t>
    </r>
    <r>
      <rPr>
        <b/>
        <sz val="12"/>
        <color theme="1"/>
        <rFont val="David"/>
        <family val="2"/>
        <charset val="177"/>
      </rPr>
      <t>ערך השייר / הגרט: 10,000 ש״ח.</t>
    </r>
  </si>
  <si>
    <t>מה פשרו של ה״10,000״? ערך השייר / הגרט שמפחיתים מהמונה מוגדר בתור השווי הצפוי לפריט בתום</t>
  </si>
  <si>
    <t xml:space="preserve">כשהפריט יסיים את כל חייו (את כל 10 השנים) הוא 10,000. </t>
  </si>
  <si>
    <r>
      <t xml:space="preserve">לגבי שנת </t>
    </r>
    <r>
      <rPr>
        <b/>
        <sz val="12"/>
        <color rgb="FF0070C0"/>
        <rFont val="David"/>
        <family val="2"/>
        <charset val="177"/>
      </rPr>
      <t>2014</t>
    </r>
    <r>
      <rPr>
        <sz val="12"/>
        <color theme="1"/>
        <rFont val="David"/>
        <family val="2"/>
        <charset val="177"/>
      </rPr>
      <t>: הפריט היה בחברה, זמין לשימוש, שנה שלמה. לכן הוצאות הפחת מתאימות לשנה שלמה: 15,500.</t>
    </r>
  </si>
  <si>
    <t>לבית</t>
  </si>
  <si>
    <t>שאלה 4 - רכוש קבוע, קו ישר</t>
  </si>
  <si>
    <t>שאלה 5 - רכוש קבוע, קו ישר</t>
  </si>
  <si>
    <t>תת נושא ראשון - הוצאות פחת ופחת נצבר בשיטת הקו הישר</t>
  </si>
  <si>
    <t>תת נושא שני - הוצאות פחת ופחת נצבר סס״י - סכום ספרות יורד</t>
  </si>
  <si>
    <t xml:space="preserve">השיטה הנפוצה ביותר לחישוב הוצאות הפחת שהוצגה קודם היא שיטת פחת שנקראת ״קו ישר״. </t>
  </si>
  <si>
    <t>שיטה זו מניחה שהפחת בכל שנה קבוע, והיא השיטה הנפוצה ביותר בתעשייה.</t>
  </si>
  <si>
    <t>אבל מה קורה אם הוצאות הפחת אינן קבועות? כשחברה, למשל, מנהלת את צי המכוניות כאשר המכוניות החדשות</t>
  </si>
  <si>
    <t>נשלחות למשלוחים רחוקים, והמכוניות הישנות הן במשלוחים קרוב לעיר?</t>
  </si>
  <si>
    <t>עבור מצבים שבהם נרצה להכיר בהוצאות פחת גבוהות בשנים הראשונות ובהוצאות פחת נמוכות יותר בשנים הבאות,</t>
  </si>
  <si>
    <t xml:space="preserve">נציג שיטת פחת נוספת שנקראת ״סכום ספרות יורד״ ובקיצור - סס״י. </t>
  </si>
  <si>
    <t>שאלה 6 - רכוש קבוע, ששון הקולה</t>
  </si>
  <si>
    <t xml:space="preserve">להלן נתוני מכונה שרכש אריאל עבור חברה שבה הוא </t>
  </si>
  <si>
    <t>עובד. הוא שילם גם על משלוח ובנוסף שילם מע״מ</t>
  </si>
  <si>
    <t>בשיעור 17% (על עלות הרכישה בלבד).</t>
  </si>
  <si>
    <t>סכום המע״מ מוחזר לחברה.</t>
  </si>
  <si>
    <t xml:space="preserve">המכונה נרכשה ב-1.1.2020 ונהג שז״ם החרוץ </t>
  </si>
  <si>
    <t>הוביל אותה לחברה מיד באותו היום.</t>
  </si>
  <si>
    <t>החברה צופה שבשנים הראשונות העובדים יחממו</t>
  </si>
  <si>
    <t>נקניק בטירוף, ובשנים לאחר מכן יירגעו.</t>
  </si>
  <si>
    <t>לכן היא מפחיתה את המכונה בשיטת סכום ספרות</t>
  </si>
  <si>
    <t>יורד, על פני 6 שנים, וערך השייר (גרט) הוא 690 ש״ח.</t>
  </si>
  <si>
    <t xml:space="preserve">נדרש: הציגו את העלות, הפחת הנצבר והעלות המופחתת לתום כל אחת מהשנים 2020-2023. </t>
  </si>
  <si>
    <t>ואת הוצאות הפחת לכל אחת משנים אלו.</t>
  </si>
  <si>
    <t>ראשית נרצה לדעת מה כוללת עלות המכונה:</t>
  </si>
  <si>
    <t>עלות רכישה</t>
  </si>
  <si>
    <t>מע״מ</t>
  </si>
  <si>
    <t>לא נכלל, כי כנתון מקבלים חזרה</t>
  </si>
  <si>
    <t>נהג שז״ם</t>
  </si>
  <si>
    <t>סך העלות</t>
  </si>
  <si>
    <t>פחנ״צ = פחת נצבר</t>
  </si>
  <si>
    <t>שלבי העבודה בחישוב הוצאות פחת - סכום ספרות יורד:</t>
  </si>
  <si>
    <t>שלב 1: חשבו ״סכום ספרות״</t>
  </si>
  <si>
    <t>SD</t>
  </si>
  <si>
    <t>סכום ספרות Sum of Digits</t>
  </si>
  <si>
    <t>תקופת ההפחתה של הנכס בשנים</t>
  </si>
  <si>
    <t>שלב 2: הקצאת ספרות לכל שנת חיים, בסדר יורד</t>
  </si>
  <si>
    <t>שנת חיים ראשונה</t>
  </si>
  <si>
    <t>שנה שנייה</t>
  </si>
  <si>
    <t>שנה שלישית</t>
  </si>
  <si>
    <t>שנה רביעית</t>
  </si>
  <si>
    <t>n = 6</t>
  </si>
  <si>
    <t xml:space="preserve">לשנת החיים הראשונה נקצה ספרה שזהה לאורך חיי הנכס, ולכל שנה עוקבת נקצה ספרה הקטנה </t>
  </si>
  <si>
    <t>יותר ביחידה אחת:</t>
  </si>
  <si>
    <t>n-1=5</t>
  </si>
  <si>
    <t>n-2=4</t>
  </si>
  <si>
    <t>שלב 3: חישוב הפחת השנתי</t>
  </si>
  <si>
    <r>
      <t xml:space="preserve">לפי העלות בניכוי הגרט / שייר, כפול </t>
    </r>
    <r>
      <rPr>
        <b/>
        <sz val="12"/>
        <color theme="1"/>
        <rFont val="David"/>
        <family val="2"/>
        <charset val="177"/>
      </rPr>
      <t>היחס</t>
    </r>
    <r>
      <rPr>
        <sz val="12"/>
        <color theme="1"/>
        <rFont val="David"/>
        <family val="2"/>
        <charset val="177"/>
      </rPr>
      <t xml:space="preserve"> בין הספרה לשנה הרלוונטית לבין סכום הספרות SD. </t>
    </r>
  </si>
  <si>
    <t>צילום אילוסטרציה: אריאל בעבודה</t>
  </si>
  <si>
    <t>אריאל רכש מכונה לייצור נקניק בעלות של 5,000,000 ש״ח.</t>
  </si>
  <si>
    <t>המכונה הגיעה לחברה ב-1.1.2018 אבל הפכה לזמינה לשימוש ב-1.4.2018.</t>
  </si>
  <si>
    <t>וערך השייר / הגרט שלה הוא 800,000 ש״ח.</t>
  </si>
  <si>
    <t>החברה מפחיתה את המכונה לחימום נקניק בשיטת סס״י (סכום ספרות</t>
  </si>
  <si>
    <t xml:space="preserve">יורד). </t>
  </si>
  <si>
    <t xml:space="preserve">נדרש: חשבו והציגו את העלות, הפחת הנצבר, העלות המופחתת והוצאות הפחת עבור השנים 2018, 2019, 2020. </t>
  </si>
  <si>
    <t xml:space="preserve">פחת נצבר </t>
  </si>
  <si>
    <t>הוצאות פחת:</t>
  </si>
  <si>
    <t xml:space="preserve">אורך החיים של הנכס: 10 שנים כנתון. </t>
  </si>
  <si>
    <t>נוסחת סכום הספרות:</t>
  </si>
  <si>
    <t>n * (n + 1) / 2 = 10 * 11 / 2 = 55</t>
  </si>
  <si>
    <t>n = 10</t>
  </si>
  <si>
    <t>שאלה 1 - רכוש קבוע - המשך יישום שיטות פחת שונות - כולל מקרה הקרקע ועלויות נלוות</t>
  </si>
  <si>
    <t>חברת ״ראלי״ בע״מ רכשה שני פריטי רכוש קבוע:</t>
  </si>
  <si>
    <t>סכום של 20,000 ש״ח, עבור התקנתה בחברה 10,000 ש״ח, וכן שלחה את העובדים להשתלמות והכשרה מקצועית</t>
  </si>
  <si>
    <t>בתחום חימום הנקניק בעלות של 35,000 ש״ח. עלויות ההפעלה והאחזקה השנתיות של המכונה: 10,000 ש״ח לשנה.</t>
  </si>
  <si>
    <t>ב. מבנה אשפוז: כדי לאכלס את העובדים שחלו מאכילת נקניק כל היום, רכשה החברה מבנה בעלות של 500,000 ש״ח.</t>
  </si>
  <si>
    <t>מתוך עלות המבנה הכוללת, חלק של 20% מיוחס לקרקע.</t>
  </si>
  <si>
    <t>שיטת ההפחתה: קו ישר. ערך שייר / גרט: 0. מועד הזמינות לשימוש: 1.3.2018. תקופת ההפחתה: 5 שנים.</t>
  </si>
  <si>
    <t>בתאריך 1.4.2022 נמכרה המכונה בתמורה ל-24,000 ש״ח.</t>
  </si>
  <si>
    <t>שיטת ההפחתה: סכום ספרות. מועד הזמינות לשימוש: 1.9.2018. תקופת ההפחתה: 20 שנים.</t>
  </si>
  <si>
    <t>בתאריך 1.8.2022 נמכר המבנה, כך שרווח ההון שנוצר במכירה הסתכם ב-14,000 ש״ח.</t>
  </si>
  <si>
    <t xml:space="preserve">א. חשבו את הוצאות הפחת לכל אחת מהשנים 2018-2022 (בגין כל פריט בנפרד, וסה״כ). </t>
  </si>
  <si>
    <t xml:space="preserve">ב. הציגו את העלות המופחתת (עלות בניכוי פחת נצבר) לתום כל אחת מהשנים 2018-2022. </t>
  </si>
  <si>
    <t>פתרון</t>
  </si>
  <si>
    <t>מכונת נקניק:</t>
  </si>
  <si>
    <t>ראשית, עלינו לגלות את עלות רכישת הפריט: ועלות רכוש קבוע תכלול את כל העלויות החיוניות להבאת הפריט</t>
  </si>
  <si>
    <t>עלויות הכשרת עובדים לתפעול מכונה - אינן חלק מעלות המכונה; וזאת הואיל ועובדים אינם</t>
  </si>
  <si>
    <t xml:space="preserve">נכס של החברה, אינם חלק מהקניין שלה (החברה לא ״שולטת״ בהם, אלו בני אדם, לא חפצים). </t>
  </si>
  <si>
    <t>עלות הפעלה ואחזקה - אלו הן העלויות שימוש שוטפות לאחר שהפריט כבר מוכן לעבודה (בדומה לדלק,</t>
  </si>
  <si>
    <t>חשמל וכיוצא בזה) ולכן מהוות הוצאות בפני עצמן ולא חלק מעלות הנכס.</t>
  </si>
  <si>
    <t>סך עלות</t>
  </si>
  <si>
    <t>תחילת ההפחתה (זמינות לשימוש) 1.3.2018:</t>
  </si>
  <si>
    <t xml:space="preserve">D(2018) = [(80,000 - 0)/5] * 10/12 = </t>
  </si>
  <si>
    <t xml:space="preserve">D(2019) = 80,000/5 = </t>
  </si>
  <si>
    <t xml:space="preserve">D(2020) = 80,000/5 = </t>
  </si>
  <si>
    <t xml:space="preserve">D(2021) = 80,000/5 = </t>
  </si>
  <si>
    <t>נעבור לטפל באופן הצגת העלות המופחתת של הפריט וכן בטיפול במכירתו:</t>
  </si>
  <si>
    <t>עזר</t>
  </si>
  <si>
    <t>לאחר המכירה</t>
  </si>
  <si>
    <t xml:space="preserve">הוצ׳ פחת </t>
  </si>
  <si>
    <t xml:space="preserve">24,000 - 9,333 = </t>
  </si>
  <si>
    <t>מבנה אשפוז</t>
  </si>
  <si>
    <r>
      <t xml:space="preserve">שיטת ההפחתה: </t>
    </r>
    <r>
      <rPr>
        <b/>
        <sz val="12"/>
        <color theme="1"/>
        <rFont val="David"/>
        <family val="2"/>
        <charset val="177"/>
      </rPr>
      <t>סכום ספרות</t>
    </r>
    <r>
      <rPr>
        <sz val="12"/>
        <color theme="1"/>
        <rFont val="David"/>
        <family val="2"/>
        <charset val="177"/>
      </rPr>
      <t>. מועד הזמינות לשימוש: 1.9.2018. תקופת ההפחתה: 20 שנים.</t>
    </r>
  </si>
  <si>
    <t>תחילה, נחשב את סכום הספרות עצמו:</t>
  </si>
  <si>
    <t xml:space="preserve">n * (n + 1) / 2 = 20 * (20 + 1) / 2 = </t>
  </si>
  <si>
    <t>נקצה את הספרות לפי שנות החיים של הנכס:</t>
  </si>
  <si>
    <t>נחשב את הוצאות הפחת עבור כל שנה:</t>
  </si>
  <si>
    <t>טיפ חשוב: קרקע תמיד מטופלת כערך גרט / שייר הואיל ואיננה נשחקת / מתבלה.</t>
  </si>
  <si>
    <t>במקרה זה, רכיב הקרקע המהווה גרט הוא 20% מהעלות כנתון, כלומר:</t>
  </si>
  <si>
    <t xml:space="preserve">20% * 500,000 = 100,000 </t>
  </si>
  <si>
    <t xml:space="preserve">D(2018) = (500,000 - 100,000) * (20 * 4/12)/210 = </t>
  </si>
  <si>
    <t>גרט (קרקע)</t>
  </si>
  <si>
    <t>הספרה,</t>
  </si>
  <si>
    <t>חלק יחסי</t>
  </si>
  <si>
    <t>סכום</t>
  </si>
  <si>
    <t xml:space="preserve">D(2019) = (500,000 - 100,000) * [(20 * 8/12) + (19 * 4/12)] / 210 = </t>
  </si>
  <si>
    <t xml:space="preserve">D(2020) = (500,000 - 100,000) * [(19 * 8/12) + (18 * 4/12)] / 210 = </t>
  </si>
  <si>
    <t xml:space="preserve">D(2021) = (500,000 - 100,000) * [(18 * 8/12) + (17 * 4/12)] / 210 = </t>
  </si>
  <si>
    <t xml:space="preserve">D(2021) = (500,000 - 100,000) * (17 * 7/12) / 210 = </t>
  </si>
  <si>
    <t>הפריט נמכר ב-1.8.2022 (7 חודשים לאחר תחילת השנה):</t>
  </si>
  <si>
    <t>נציג את העלות המופחתת:</t>
  </si>
  <si>
    <t>למרות שבשאלה זו רווח ההון נתון לגבי המבנה, חשוב לדעת כיצד לחשבו גם עבור פריטים שנמדדים בסכום ספרות.</t>
  </si>
  <si>
    <t>אופן החישוב זהה לגמרי: על בסיס ההפרש בין התמורה לבין העלות המופחתת ערב המכירה (עמודת עזר):</t>
  </si>
  <si>
    <t>רווח ההון</t>
  </si>
  <si>
    <t xml:space="preserve"> x</t>
  </si>
  <si>
    <t xml:space="preserve">x - 361,746 = </t>
  </si>
  <si>
    <t>וניתן (אם דורשים, יכול לקרות בבחינה) לחלץ את התמורה בסך של:</t>
  </si>
  <si>
    <t>פחת מכונה</t>
  </si>
  <si>
    <t>פחת מבנה</t>
  </si>
  <si>
    <t>סך הוצ׳ פחת</t>
  </si>
  <si>
    <t>עלות מכונה</t>
  </si>
  <si>
    <t>פחנ״צ מבנה</t>
  </si>
  <si>
    <t>פחנ״צ מכונה</t>
  </si>
  <si>
    <t>עלות מבנה</t>
  </si>
  <si>
    <t>הוצ׳ פחת</t>
  </si>
  <si>
    <t>ב. סך עלות מופחתת של כל סוגי הפריטים</t>
  </si>
  <si>
    <t>תת נושא חדש - פקודות יומן למתן ביטוי להוצאות פחת, לקניה ולמכירה של פריטי רכוש קבוע</t>
  </si>
  <si>
    <t>פקודת יומן ברכישת רכוש קבוע:</t>
  </si>
  <si>
    <t>ח׳ מכונה לחימום נקניק (רכוש קבוע - עלות)</t>
  </si>
  <si>
    <t>XXXX</t>
  </si>
  <si>
    <t>פקודת יומן למתן ביטוי להוצאות פחת:</t>
  </si>
  <si>
    <t>ז׳ פחת נצבר</t>
  </si>
  <si>
    <t>כי הוצאות נרשמות בחובה</t>
  </si>
  <si>
    <t>פחת נצבר מקטין את הנכס! קיטון בנכס הוא בזכות</t>
  </si>
  <si>
    <t>פקודת יומן למכירת רכוש קבוע:</t>
  </si>
  <si>
    <t>ז׳ מזומן (או אמצעי תשלום אחר)</t>
  </si>
  <si>
    <t>ז׳ מכונה לחימום נקניק (רכוש קבוע - עלות)</t>
  </si>
  <si>
    <t>YYYY</t>
  </si>
  <si>
    <t>קיטון בנכס הרכוש הקבוע הנמכר</t>
  </si>
  <si>
    <t>ח׳ פחת נצבר</t>
  </si>
  <si>
    <t>ZZZZ</t>
  </si>
  <si>
    <t>פחת נצבר כותבים בזכות, אך ברגע שרוצים לאפס אותו, כי הפריט נמכר - רושמים חובה</t>
  </si>
  <si>
    <t>ז׳ רווח הון או:</t>
  </si>
  <si>
    <t>OOOO</t>
  </si>
  <si>
    <t>PPPP</t>
  </si>
  <si>
    <t>כי רווח הוא סוג של הכנסה, והכנסות הן בזכות</t>
  </si>
  <si>
    <t>כי הפסד הוא סוג של הוצאה, והוצאות הן בחובה</t>
  </si>
  <si>
    <t>שאלה 2 - רכוש קבוע - עבור פקודות יומן</t>
  </si>
  <si>
    <t>חברה רכשה מכונה לחיתוך נקניק ב-1.1.2020 בעלות של 80,000 ש״ח.</t>
  </si>
  <si>
    <t xml:space="preserve">מכונת הנקניק זמינה לשימוש מיד במועד רכישתה, והיא מופחתת בשיטת </t>
  </si>
  <si>
    <t xml:space="preserve">הקו הישר על פני 8 שנים ללא ערך גרט / שייר. </t>
  </si>
  <si>
    <t>בתאריך 1.3.2022 נמכרה המכונה תמורת 37,000 ש״ח.</t>
  </si>
  <si>
    <t>נדרש: הציגו יתרות רלוונטיות (עלות מופחתת, הוצאות פחת, רווח / הפסד הון)</t>
  </si>
  <si>
    <t>ורשמו פקודות יומן מלאות למתן ביטוי להן בשנים המפורטות בשאלה.</t>
  </si>
  <si>
    <t>פקודה לרכישת מכונת חיתוך נקניק</t>
  </si>
  <si>
    <t>ח׳ מכונה לחיתוך נקניק (עלות)</t>
  </si>
  <si>
    <t>ז׳ מזומן</t>
  </si>
  <si>
    <t>פקודה לרישום הוצאות פחת</t>
  </si>
  <si>
    <t xml:space="preserve">80,000 / 8 = </t>
  </si>
  <si>
    <t xml:space="preserve">זכרו: פקודה לא מציגה ערך מצטבר; אלא את השינוי השנתי. לכן בכל שנה ושנה עד שיחול שינוי </t>
  </si>
  <si>
    <t>תירשם פקודה זהה.</t>
  </si>
  <si>
    <t xml:space="preserve">(80,000 / 8) * (2/12) = </t>
  </si>
  <si>
    <t>פקודה לרישום המכירה</t>
  </si>
  <si>
    <t>ז׳ מכונה לחיתוך נקניק - עלות</t>
  </si>
  <si>
    <t xml:space="preserve">10,000 + 10,000 + 1,667 = </t>
  </si>
  <si>
    <r>
      <t xml:space="preserve">כלומר, קובעים איזה חשבון מהווה נכס / התחייבות / הון / הכנסה / הוצאה, </t>
    </r>
    <r>
      <rPr>
        <b/>
        <u/>
        <sz val="12"/>
        <color theme="1"/>
        <rFont val="David"/>
        <family val="2"/>
        <charset val="177"/>
      </rPr>
      <t>וכן משלימים ערכים חסרים</t>
    </r>
    <r>
      <rPr>
        <sz val="12"/>
        <color theme="1"/>
        <rFont val="David"/>
        <family val="2"/>
        <charset val="177"/>
      </rPr>
      <t xml:space="preserve"> לפני</t>
    </r>
  </si>
  <si>
    <r>
      <t xml:space="preserve">ב. על בסיס רשימת הערכים, יש לטפל </t>
    </r>
    <r>
      <rPr>
        <b/>
        <sz val="12"/>
        <color theme="1"/>
        <rFont val="David"/>
        <family val="2"/>
        <charset val="177"/>
      </rPr>
      <t>בתיקונים ובעדכונים מתבקשים</t>
    </r>
    <r>
      <rPr>
        <sz val="12"/>
        <color theme="1"/>
        <rFont val="David"/>
        <family val="2"/>
        <charset val="177"/>
      </rPr>
      <t xml:space="preserve"> - ״פקודות יומן נוספות״ - בהתאם לנתונים</t>
    </r>
  </si>
  <si>
    <t>שלב 1: נמיין את היתרות הנתונות לנכסים / התחייבויות / הון / הכנסות / הוצאות</t>
  </si>
  <si>
    <t xml:space="preserve">עלות לבין שווי מימוש נטו (מחיר מכירה צפוי בניכוי עלויות השלמה ומכירה). </t>
  </si>
  <si>
    <r>
      <t xml:space="preserve">להיווצר לשם מכירתו הן 4 אלפי ש״ח. </t>
    </r>
    <r>
      <rPr>
        <b/>
        <sz val="12"/>
        <color theme="1"/>
        <rFont val="David"/>
        <family val="2"/>
        <charset val="177"/>
      </rPr>
      <t>החברה מיישמת את עקרון מדידת המלאי לפי הנמוך מבין</t>
    </r>
  </si>
  <si>
    <t>בניכוי עלויות השלמה - כאן: אין</t>
  </si>
  <si>
    <t>בניכוי עלויות מכירה - נתון</t>
  </si>
  <si>
    <t>עלות המכונות:</t>
  </si>
  <si>
    <t>פחת נצבר 1.1.2020:</t>
  </si>
  <si>
    <t xml:space="preserve">1,000 / 10 * (9/12) = </t>
  </si>
  <si>
    <t>עדכון פחת</t>
  </si>
  <si>
    <t xml:space="preserve">אז למעשה: החברה צריכה לרשום הוצאות פחת לשנה נוספת (בגין 2020) בסכום של 100 אלפי ש״ח, ולהגדיל </t>
  </si>
  <si>
    <t>ראינו קודם, שערכו החשבונאי של מלאי הסגירה הוא 20 אלפי ש״ח.</t>
  </si>
  <si>
    <t xml:space="preserve">בגין מלאי הסגירה, </t>
  </si>
  <si>
    <r>
      <t xml:space="preserve">יש לבצע - רישום בטבלה המרכזת של שני ערכי מלאי סגירה: </t>
    </r>
    <r>
      <rPr>
        <u/>
        <sz val="12"/>
        <color theme="1"/>
        <rFont val="David"/>
        <family val="2"/>
        <charset val="177"/>
      </rPr>
      <t>האחד, בסימן חיובי בנכסים (מלאי סגירה מאזן)</t>
    </r>
    <r>
      <rPr>
        <sz val="12"/>
        <color theme="1"/>
        <rFont val="David"/>
        <family val="2"/>
        <charset val="177"/>
      </rPr>
      <t>,</t>
    </r>
  </si>
  <si>
    <r>
      <t xml:space="preserve">והשני - </t>
    </r>
    <r>
      <rPr>
        <u/>
        <sz val="12"/>
        <color theme="1"/>
        <rFont val="David"/>
        <family val="2"/>
        <charset val="177"/>
      </rPr>
      <t>בסימן שלילי בהוצאות (קיטון בהוצאות) - מלאי סגירה רווח והפסד.</t>
    </r>
  </si>
  <si>
    <t>פקודות יומן למיון מלאי:</t>
  </si>
  <si>
    <t>פקודה 1: רישום מלאי הפתיחה כהוצאה</t>
  </si>
  <si>
    <t>מלאי הפתיחה כבר נצרך (לתום השנה) והופך להוצאה</t>
  </si>
  <si>
    <t>מלאי הפתיחה מפסיק להיות נכס במאזן</t>
  </si>
  <si>
    <t>פקודה 2: רישום מלאי הסגירה כנכס</t>
  </si>
  <si>
    <t>חובה מלאי סגירה - מאזן</t>
  </si>
  <si>
    <t>מלאי הסגירה לתום השנה הוא נכס במאזן לתום שנה</t>
  </si>
  <si>
    <t>זכות מלאי סגירה - רווח והפסד</t>
  </si>
  <si>
    <t>מלאי הסגירה משמעו: לא צרכתי את כל הקניות (קיטון בהוצאות / בצריכה)</t>
  </si>
  <si>
    <t>לאחר פקודות אלו, יש לוודא:</t>
  </si>
  <si>
    <t>שמלאי הפתיחה מופיע רק בעמודת ההוצאות</t>
  </si>
  <si>
    <t>ומלאי הסגירה מופיע פעמיים: גם בנכסים, וגם כקיטון בהוצאות</t>
  </si>
  <si>
    <t>מקורי</t>
  </si>
  <si>
    <t>הוצאות שכר 
לשלם - חדששששש</t>
  </si>
  <si>
    <t>התחלת תרגיל חדש ברמת בחינה - שאלת שרה We love you Sarah</t>
  </si>
  <si>
    <t>מיון יתרות ושיחזור ערכים חסרים, לפני עדכונים:</t>
  </si>
  <si>
    <t>שיחזור 1:</t>
  </si>
  <si>
    <t>פחת נצבר מחשבים 1.1.2021 = רק בגין המחשבים שהיו בשנת 2020, שהם 75% מסך כל המחשבים.</t>
  </si>
  <si>
    <t>החלק שנרכש ב-2020 - לפי 75%:</t>
  </si>
  <si>
    <t>כל המחשבים: עלות:</t>
  </si>
  <si>
    <t>פחת מ-1.1.2020 עד 1.1.2021 (שנה אחת):</t>
  </si>
  <si>
    <t xml:space="preserve">300 / 8 = </t>
  </si>
  <si>
    <t>פחת נצבר מעודכן ל-1.1.2021 מחשבים</t>
  </si>
  <si>
    <t>שיחזור 2:</t>
  </si>
  <si>
    <t>כדי לקבוע את הערך החשבונאי בגין המלאי שיוצג לתום השנה (מלאי סגירה), עלינו לחשב שני ערכים</t>
  </si>
  <si>
    <t>ולבחור את הנמוך מביניהם:</t>
  </si>
  <si>
    <t>א. עלות מלאי הסגירה:</t>
  </si>
  <si>
    <t xml:space="preserve">20,000 * 8 = </t>
  </si>
  <si>
    <t>ב. שווי המימוש נטו:</t>
  </si>
  <si>
    <t xml:space="preserve">20,000 * 6 = </t>
  </si>
  <si>
    <t>ערך המלאי - הנמוך מביניהם</t>
  </si>
  <si>
    <t xml:space="preserve">הסבר: נתון שב״תנאים רגילים״ ניתן למכור את המלאי ב-7 ש״ח, אבל - במצב הנוכחי, העדכני, הקיים - </t>
  </si>
  <si>
    <t xml:space="preserve">ניתן למכור את המלאי ב-6 ש״ח. </t>
  </si>
  <si>
    <t xml:space="preserve">כמובן ש״מה שקובע״ הוא ערך המלאי העדכני המתאים למציאות הנוכחית - כלומר 6. </t>
  </si>
  <si>
    <t>100 + x</t>
  </si>
  <si>
    <t>ניתן לייצר לשם חילוץ י״פ עודפים את המשוואה:</t>
  </si>
  <si>
    <t>2,007.5        =           365          +           100 + x             + (985-589)</t>
  </si>
  <si>
    <t>הון עצמי 1.1 כולל עודפים 1.1</t>
  </si>
  <si>
    <t>רווח השנה</t>
  </si>
  <si>
    <t>לפי הכנסות</t>
  </si>
  <si>
    <t>בניכוי</t>
  </si>
  <si>
    <t>וכך x המייצג את יתרת הפתיחה של העודפים יחולץ:</t>
  </si>
  <si>
    <t>x = 1,146.5</t>
  </si>
  <si>
    <t>תאריך לחישוב:</t>
  </si>
  <si>
    <t>כלומר בחלוף 3 שנים + 6 חודשים</t>
  </si>
  <si>
    <t>גרט/שייר</t>
  </si>
  <si>
    <t>תקופת</t>
  </si>
  <si>
    <t>ההפחתה</t>
  </si>
  <si>
    <t>בשנים</t>
  </si>
  <si>
    <t>שנים שחלפו מ-1.7.2017</t>
  </si>
  <si>
    <t>עד החישוב ל-1.1.2021</t>
  </si>
  <si>
    <r>
      <t xml:space="preserve">ב. שווי מימוש נטו (שמ״נ): </t>
    </r>
    <r>
      <rPr>
        <sz val="12"/>
        <color rgb="FFFF0000"/>
        <rFont val="David"/>
        <family val="2"/>
        <charset val="177"/>
      </rPr>
      <t>מחיר מכירה עתידי</t>
    </r>
    <r>
      <rPr>
        <sz val="12"/>
        <color theme="1"/>
        <rFont val="David"/>
        <family val="2"/>
        <charset val="177"/>
      </rPr>
      <t xml:space="preserve">, בניכוי </t>
    </r>
    <r>
      <rPr>
        <sz val="12"/>
        <color rgb="FF0070C0"/>
        <rFont val="David"/>
        <family val="2"/>
        <charset val="177"/>
      </rPr>
      <t>עלויות השלמה</t>
    </r>
    <r>
      <rPr>
        <sz val="12"/>
        <color theme="1"/>
        <rFont val="David"/>
        <family val="2"/>
        <charset val="177"/>
      </rPr>
      <t xml:space="preserve"> ובניכוי </t>
    </r>
    <r>
      <rPr>
        <sz val="12"/>
        <color rgb="FF00B050"/>
        <rFont val="David"/>
        <family val="2"/>
        <charset val="177"/>
      </rPr>
      <t>עלויות מכירה</t>
    </r>
    <r>
      <rPr>
        <sz val="12"/>
        <color theme="1"/>
        <rFont val="David"/>
        <family val="2"/>
        <charset val="177"/>
      </rPr>
      <t>.</t>
    </r>
  </si>
  <si>
    <r>
      <t>10,000 * (</t>
    </r>
    <r>
      <rPr>
        <sz val="12"/>
        <color rgb="FFFF0000"/>
        <rFont val="David"/>
        <family val="2"/>
        <charset val="177"/>
      </rPr>
      <t>8</t>
    </r>
    <r>
      <rPr>
        <sz val="12"/>
        <color theme="1"/>
        <rFont val="David"/>
        <family val="2"/>
        <charset val="177"/>
      </rPr>
      <t xml:space="preserve"> - </t>
    </r>
    <r>
      <rPr>
        <sz val="12"/>
        <color rgb="FF0070C0"/>
        <rFont val="David"/>
        <family val="2"/>
        <charset val="177"/>
      </rPr>
      <t>0.5</t>
    </r>
    <r>
      <rPr>
        <sz val="12"/>
        <color theme="1"/>
        <rFont val="David"/>
        <family val="2"/>
        <charset val="177"/>
      </rPr>
      <t xml:space="preserve"> - </t>
    </r>
    <r>
      <rPr>
        <sz val="12"/>
        <color rgb="FF00B050"/>
        <rFont val="David"/>
        <family val="2"/>
        <charset val="177"/>
      </rPr>
      <t>2.5</t>
    </r>
    <r>
      <rPr>
        <sz val="12"/>
        <color theme="1"/>
        <rFont val="David"/>
        <family val="2"/>
        <charset val="177"/>
      </rPr>
      <t xml:space="preserve">) = </t>
    </r>
  </si>
  <si>
    <t xml:space="preserve">כזכור: מלאי הסגירה ייכלל גם בנכסים בסימן חיובי, וגם בהוצאות בסימן שלילי. </t>
  </si>
  <si>
    <t xml:space="preserve">מדוע? כי מצד אחד המלאי לתום השנה הוא נכס; ומצד שני - הוא מקטין את ״עלות המכר״. </t>
  </si>
  <si>
    <t>הון לתום השנה (לפני תיקון) = הון התחלתי + רווח (הכנסות בניכוי הוצאות)</t>
  </si>
  <si>
    <t>1,687.5          =          170 +        (90 + ?)           + (800 - 497)</t>
  </si>
  <si>
    <t xml:space="preserve">הון עצמי </t>
  </si>
  <si>
    <t>כולל עודפים</t>
  </si>
  <si>
    <t>ל-1.1 (?)</t>
  </si>
  <si>
    <t>תחילת ההפחתה, מטרתנו להפחית עד תום 2021, חודשיים!</t>
  </si>
  <si>
    <r>
      <t xml:space="preserve">שייר / גרט - </t>
    </r>
    <r>
      <rPr>
        <b/>
        <sz val="12"/>
        <color theme="1"/>
        <rFont val="David"/>
        <family val="2"/>
        <charset val="177"/>
      </rPr>
      <t>10% מהעלות</t>
    </r>
    <r>
      <rPr>
        <sz val="12"/>
        <color theme="1"/>
        <rFont val="David"/>
        <family val="2"/>
        <charset val="177"/>
      </rPr>
      <t>.</t>
    </r>
  </si>
  <si>
    <t>אורך החיים</t>
  </si>
  <si>
    <t>הכולל</t>
  </si>
  <si>
    <t>חודשיים</t>
  </si>
  <si>
    <t>הפחתה</t>
  </si>
  <si>
    <t>מתוך שנה</t>
  </si>
  <si>
    <t>עלות המחשבים מהטבלה</t>
  </si>
  <si>
    <t xml:space="preserve">(600            -           0)   /   8 = </t>
  </si>
  <si>
    <t>כאשר רושמים הוצאות פחת במסגרת העדכונים - עלינו לבטא רק את הוצאות הפחת בגין השנה הנוכחית, לא בגין שנים קודמות.</t>
  </si>
  <si>
    <t>חלק א</t>
  </si>
  <si>
    <t>שאלת מסה</t>
  </si>
  <si>
    <t>50 נק׳</t>
  </si>
  <si>
    <t>חלק ב</t>
  </si>
  <si>
    <t>פקודות יומן</t>
  </si>
  <si>
    <t>10 נק׳</t>
  </si>
  <si>
    <t>חתך</t>
  </si>
  <si>
    <t xml:space="preserve">שאלה 4 </t>
  </si>
  <si>
    <t>15 נק׳</t>
  </si>
  <si>
    <t xml:space="preserve">הבחינה מורכבת מ-2 חלקים של שעתיים כל אחד. </t>
  </si>
  <si>
    <t>בין החלקים הפסקה של 45 דקות.</t>
  </si>
  <si>
    <t xml:space="preserve">רשימה של נתונים כספיים בטבלה, ולאחריה - רשימת אירועים נוספים. </t>
  </si>
  <si>
    <t xml:space="preserve">עליכם לדעת כיצד לשחזר את הנתונים ההתחלתיים לפני תיקון. </t>
  </si>
  <si>
    <t xml:space="preserve">כיצד לבטא פקודות יומן לתיקון הערכים. </t>
  </si>
  <si>
    <t xml:space="preserve">כיצד לתקן את הערכים ובעיקר - להפיק דוחות כספיים מלאים עדכניים בתום התהליך. </t>
  </si>
  <si>
    <t xml:space="preserve">אחד האתגרים המשמעותיים בשאלה הזו - לחץ / עומס מידע. </t>
  </si>
  <si>
    <t>מאד חשוב - להתחיל בצורה מסודרת במיון ופתרון החלקים ״הפשוטים״.</t>
  </si>
  <si>
    <t xml:space="preserve">הבדיקה של שאלת המסה מצד אחד מאד מדויקת - ועל כל שלב בתהליך יש ניקוד, </t>
  </si>
  <si>
    <t>מצד שני - כן מתחשבים בטעויות נגררות - ניתן להניח הנחת פתרון באופן מפורש, ולהמשיך איתה.</t>
  </si>
  <si>
    <t xml:space="preserve">לא להגיע למצב שסעיף קשה / מורכב מקלקל לנו יותר ממשקלו. </t>
  </si>
  <si>
    <t xml:space="preserve">תכנון זמן - קריטי. </t>
  </si>
  <si>
    <t>שאלות קטנות</t>
  </si>
  <si>
    <t>פקודות רגילות</t>
  </si>
  <si>
    <t>ברמה של טבלה / אירועים</t>
  </si>
  <si>
    <t>ברמת כל התנועות שנלמדו - כולל אבודים, חילוץ הוצאות..</t>
  </si>
  <si>
    <t>כל שיטות הפחת, כולל רווח הון, כולל שילוב פריטים</t>
  </si>
  <si>
    <t xml:space="preserve">אין מה להתחיל עם ״השאלות הקטנות״ עד שאני סגור פרפקט על שאלת המסה (זו דעתי האישית - </t>
  </si>
  <si>
    <t>המלצה ללמידה:</t>
  </si>
  <si>
    <t>שייקה). כלומר, אני רוצה להיות סגור פרפקט על כל השלבים: להבין מה זה המיון ואיך מתנהגים איתו,</t>
  </si>
  <si>
    <t xml:space="preserve">להבין מה ההבדל בין ״שיחזור יתרות״ (שעליו לא רושמים פקודות יומן) לבין ״עדכון יתרות״ </t>
  </si>
  <si>
    <t xml:space="preserve">שבגינו רושמים פקודות יומן ומעדכנים את הטבלה. </t>
  </si>
  <si>
    <t>מצאו את הדרך הנוחה לכם: האם לעבוד על טבלה אחת עם מחיקות לטובת עדכון, או שתי טבלאות?</t>
  </si>
  <si>
    <t>קחו סטופר ובדקו כמה זמן לוקח לכם לפתור שאלה.</t>
  </si>
  <si>
    <t xml:space="preserve">טכניקות הפתרון וההצגה - מי שעובד עם טכניקת המחברת ותבניות העבודה שהוגדרו - סגור. </t>
  </si>
  <si>
    <t xml:space="preserve">במהלך הלמידה - שימו לב טוב לתאריכים, ותמיד תשאלו את עצמכם - ״מה היה קורה אם״. </t>
  </si>
  <si>
    <t>אני פותר שאלה שבה הפריט נרכש ב-1.1.2021, תשאלו את עצמכם: ״מה הייתי עושה אם הפריט</t>
  </si>
  <si>
    <t xml:space="preserve">נרכש ב-1.9״. </t>
  </si>
  <si>
    <t>לא בחומר ב-2024א</t>
  </si>
  <si>
    <t>בחומר כמובן</t>
  </si>
  <si>
    <t>ד״ר שי צבאן</t>
  </si>
  <si>
    <t>לפניכם נתונים לגבי שווי השירות שחברה סיפקה בתחום חימום הנקניק בכל אחת מהשנים 2020-2024, וכן סכום המזומן</t>
  </si>
  <si>
    <t>שגבתה בשנים אלו מלקוחותיה:</t>
  </si>
  <si>
    <t>שווי שירות
שסופק</t>
  </si>
  <si>
    <t>סכום המזומן
שגבתה</t>
  </si>
  <si>
    <t>סכום ההכנסה שתוכר ברווח והפסד לשנה זו</t>
  </si>
  <si>
    <t>הסבר: הגדרנו כי יש לרשום הכנסות בהתאם למועד שבו מבצעים פעילות שיוצרת ערך לחברה: כלומר, בהתאם לשווי השירות</t>
  </si>
  <si>
    <t xml:space="preserve">היא רק העמודה של ״שווי השירות שסופק״. </t>
  </si>
  <si>
    <r>
      <t xml:space="preserve">שחברה סיפקה במהלך השנה (או בהתאם לשווי המכירה). העמודה הרלוונטית בטבלת הנתונים - </t>
    </r>
    <r>
      <rPr>
        <b/>
        <sz val="12"/>
        <rFont val="David"/>
        <family val="2"/>
        <charset val="177"/>
      </rPr>
      <t>לשם מדידת ההכנסה</t>
    </r>
    <r>
      <rPr>
        <sz val="12"/>
        <rFont val="David"/>
        <family val="2"/>
        <charset val="177"/>
      </rPr>
      <t xml:space="preserve"> - </t>
    </r>
  </si>
  <si>
    <t>חברה סיפקה בשנת 2022 שירות ללקוח רון יהב בשווי 70,000 ש״ח. עד לתום השנה, גבתה ממנו 39,000 ש״ח.</t>
  </si>
  <si>
    <t>כמו כן, סיפקה החברה בשנת 2022 שירות ללקוחה אניה סגס בשווי 30,000 ש״ח. עד לתום השנה גבתה ממנה 24,000 ש״ח.</t>
  </si>
  <si>
    <t>נדרש: בהנחה שהחברה לא ביצעה מכירות ולא העניקה שירותים נוספים ב-2022, מהו סך ההכנסה עליה היא תדווח</t>
  </si>
  <si>
    <t>בדוח רווח והפסד לשנת 2022?</t>
  </si>
  <si>
    <t>הכנסות = שווי פעילות חיובית שבוצעה = סך שווי המכירות והשירות שהחברה סיפקה.</t>
  </si>
  <si>
    <t xml:space="preserve">העובדה שרק חלק מהסכום התקבל במזומן - לא משנה את מדידת ההכנסה לפי קריטריון זה. </t>
  </si>
  <si>
    <r>
      <t xml:space="preserve">כאן, החברה סיפקה שירות לשני לקוחות השנה, בשווי כולל של </t>
    </r>
    <r>
      <rPr>
        <b/>
        <sz val="12"/>
        <rFont val="David"/>
        <family val="2"/>
        <charset val="177"/>
      </rPr>
      <t>100,000</t>
    </r>
    <r>
      <rPr>
        <sz val="12"/>
        <rFont val="David"/>
        <family val="2"/>
        <charset val="177"/>
      </rPr>
      <t xml:space="preserve"> = 70,000 + 30,000. </t>
    </r>
  </si>
  <si>
    <t>תרגיל מסובך - אל תדאגו, סוגי תרגילים כאלו נחזק מאד בהמשך</t>
  </si>
  <si>
    <t>שולם</t>
  </si>
  <si>
    <t>במזומן</t>
  </si>
  <si>
    <t>תחילת הביטוח</t>
  </si>
  <si>
    <t>סיום הביטוח</t>
  </si>
  <si>
    <t>שווי הביטוח שנצרך: 10,000</t>
  </si>
  <si>
    <t>שווי</t>
  </si>
  <si>
    <t>לחצי</t>
  </si>
  <si>
    <t>הוא:</t>
  </si>
  <si>
    <t>מחצית</t>
  </si>
  <si>
    <t>מ-10,000</t>
  </si>
  <si>
    <t>הוצאות ביטוח ב-2022: 5,000</t>
  </si>
  <si>
    <t>השנה</t>
  </si>
  <si>
    <t>ב-2023</t>
  </si>
  <si>
    <t>הוצאות ביטוח ב-2023:</t>
  </si>
  <si>
    <t>דוח רווח והפסד נועד לשקף את שווי השירותים והמכירות שבוצעו בתקופה מסוימת (בדרך כלל - בשנה מסוימת) = הכנסות</t>
  </si>
  <si>
    <t>וכן את שווי השירותים והמשאבים שנצרכו בתקופה מסוימת (בדרך כלל - בשנה מסוימת) = הוצאות</t>
  </si>
  <si>
    <t>ואת ההפרש ביניהם - רווח או הפסד</t>
  </si>
  <si>
    <t>שימו לב לדגש החשוב - ההכנסות וההוצאות משקפות את הפעילות שבוצעה ולא את עיתוי תשלום או קבלת המזומן.</t>
  </si>
  <si>
    <t>סיכום ביניים - המשמעות הבסיסית של דוח רווח והפסד:</t>
  </si>
  <si>
    <t>ולאחר שדנו ברווח והפסד, הכנסות והוצאות - נעבור לסוג הבא של המידע - מצב כספי</t>
  </si>
  <si>
    <r>
      <t xml:space="preserve">ב. </t>
    </r>
    <r>
      <rPr>
        <b/>
        <sz val="12"/>
        <rFont val="David"/>
        <family val="2"/>
        <charset val="177"/>
      </rPr>
      <t>מצב כספי = לנקודת זמן (31.12)</t>
    </r>
    <r>
      <rPr>
        <sz val="12"/>
        <rFont val="David"/>
        <family val="2"/>
        <charset val="177"/>
      </rPr>
      <t xml:space="preserve"> = </t>
    </r>
    <r>
      <rPr>
        <u/>
        <sz val="12"/>
        <rFont val="David"/>
        <family val="2"/>
        <charset val="177"/>
      </rPr>
      <t>נכסים</t>
    </r>
    <r>
      <rPr>
        <sz val="12"/>
        <rFont val="David"/>
        <family val="2"/>
        <charset val="177"/>
      </rPr>
      <t xml:space="preserve">, </t>
    </r>
    <r>
      <rPr>
        <u/>
        <sz val="12"/>
        <rFont val="David"/>
        <family val="2"/>
        <charset val="177"/>
      </rPr>
      <t>התחייבויות</t>
    </r>
    <r>
      <rPr>
        <sz val="12"/>
        <rFont val="David"/>
        <family val="2"/>
        <charset val="177"/>
      </rPr>
      <t xml:space="preserve"> וההפרש = </t>
    </r>
    <r>
      <rPr>
        <u/>
        <sz val="12"/>
        <rFont val="David"/>
        <family val="2"/>
        <charset val="177"/>
      </rPr>
      <t>הון עצמי</t>
    </r>
    <r>
      <rPr>
        <sz val="12"/>
        <rFont val="David"/>
        <family val="2"/>
        <charset val="177"/>
      </rPr>
      <t xml:space="preserve"> [כולל בעיקר השקעת בעלים ואת הרווח שנצבר]</t>
    </r>
  </si>
  <si>
    <t>עו״ש בנק (מזומן בבנק)</t>
  </si>
  <si>
    <r>
      <t>חשוב מאד לשים לב שמדובר ב</t>
    </r>
    <r>
      <rPr>
        <b/>
        <sz val="12"/>
        <rFont val="David"/>
        <family val="2"/>
        <charset val="177"/>
      </rPr>
      <t>נכס</t>
    </r>
    <r>
      <rPr>
        <sz val="12"/>
        <rFont val="David"/>
        <family val="2"/>
        <charset val="177"/>
      </rPr>
      <t>. לא ניתן לטעון שמדובר בהון עצמי, כי הון עצמי מספר ״מאין הכסף הגיע״ ולא ״כמה כסף יש״.</t>
    </r>
  </si>
  <si>
    <r>
      <rPr>
        <b/>
        <sz val="12"/>
        <rFont val="David"/>
        <family val="2"/>
        <charset val="177"/>
      </rPr>
      <t>עו״ש בנק</t>
    </r>
    <r>
      <rPr>
        <sz val="12"/>
        <rFont val="David"/>
        <family val="2"/>
        <charset val="177"/>
      </rPr>
      <t xml:space="preserve"> = הכוונה היא למזומן שקיים בחשבון הבנק של החברה. </t>
    </r>
  </si>
  <si>
    <r>
      <rPr>
        <b/>
        <sz val="12"/>
        <rFont val="David"/>
        <family val="2"/>
        <charset val="177"/>
      </rPr>
      <t>מלאי</t>
    </r>
    <r>
      <rPr>
        <sz val="12"/>
        <rFont val="David"/>
        <family val="2"/>
        <charset val="177"/>
      </rPr>
      <t xml:space="preserve"> = פריטים שהחברה מחזיקה לצורך מכירתם השוטפת. אם חברה מוכרת נקניקיות - מלאי אצלה יהיה נקניקיות.</t>
    </r>
  </si>
  <si>
    <t xml:space="preserve">את התמורה ולכן זה נכס שלה. </t>
  </si>
  <si>
    <r>
      <rPr>
        <b/>
        <sz val="12"/>
        <rFont val="David"/>
        <family val="2"/>
        <charset val="177"/>
      </rPr>
      <t>לקוחות</t>
    </r>
    <r>
      <rPr>
        <sz val="12"/>
        <rFont val="David"/>
        <family val="2"/>
        <charset val="177"/>
      </rPr>
      <t xml:space="preserve"> = סך החוב העדכני של לקוחות החברה כלפיה למועד הדיווח (31.12). חוב כלפי החברה מוביל לכך שבעתיד היא תגבה</t>
    </r>
  </si>
  <si>
    <t>חייבים (שונים)</t>
  </si>
  <si>
    <t xml:space="preserve">חוב של רשות המסים כלפי החברה וכן הלאה. כמו בכל מקרה אחר של חוב כלפי החברה, זהו נכס שלה. </t>
  </si>
  <si>
    <r>
      <rPr>
        <b/>
        <sz val="12"/>
        <rFont val="David"/>
        <family val="2"/>
        <charset val="177"/>
      </rPr>
      <t>חייבים / חייבים שונים</t>
    </r>
    <r>
      <rPr>
        <sz val="12"/>
        <rFont val="David"/>
        <family val="2"/>
        <charset val="177"/>
      </rPr>
      <t xml:space="preserve"> = חוב כלפי החברה, כאשר זהות החייב (מי שחייב) איננו לקוח אלא גורם אחר. כגון חוב של ספק כלפי החברה,</t>
    </r>
  </si>
  <si>
    <t>את צריכת השירותים והמשאבים במהלך השנה; סכום זה לא חופף ליתרת ההתחייבות. למשל, נניח שצרכתי שירותים בשנת 2022</t>
  </si>
  <si>
    <t>בסכום של 50,000 ש״ח ושילמתי לספק השירותים 48,000 ש״ח. במצב כזה תרשמנה הוצאות של 50,000, אבל יתרת הספקים</t>
  </si>
  <si>
    <t xml:space="preserve">תהיה 2,000 בלבד. </t>
  </si>
  <si>
    <r>
      <rPr>
        <b/>
        <sz val="12"/>
        <rFont val="David"/>
        <family val="2"/>
        <charset val="177"/>
      </rPr>
      <t>ספקים = מדובר ביתרת סכום ההתחייבות העדכנית למועד הדיווח כלפי ספקים</t>
    </r>
    <r>
      <rPr>
        <sz val="12"/>
        <rFont val="David"/>
        <family val="2"/>
        <charset val="177"/>
      </rPr>
      <t>. לא מדובר בהוצאה משום שהוצאות משקפות</t>
    </r>
  </si>
  <si>
    <t xml:space="preserve">המסים, התחייבות לעירייה לתשלומי ארנונה ועוד. </t>
  </si>
  <si>
    <r>
      <rPr>
        <b/>
        <sz val="12"/>
        <rFont val="David"/>
        <family val="2"/>
        <charset val="177"/>
      </rPr>
      <t>זכאים שונים</t>
    </r>
    <r>
      <rPr>
        <sz val="12"/>
        <rFont val="David"/>
        <family val="2"/>
        <charset val="177"/>
      </rPr>
      <t xml:space="preserve"> = יתרת סכום ההתחייבות העדכנית לגורמים שאינם ספקים, כגון - התחייבות לתשלום שכר לעובדים, התחייבות לרשות</t>
    </r>
  </si>
  <si>
    <t xml:space="preserve">מוחשיים שצפויים לשרת את החברה תקופה ארוכה. </t>
  </si>
  <si>
    <r>
      <rPr>
        <b/>
        <sz val="12"/>
        <rFont val="David"/>
        <family val="2"/>
        <charset val="177"/>
      </rPr>
      <t>רכוש קבוע</t>
    </r>
    <r>
      <rPr>
        <sz val="12"/>
        <rFont val="David"/>
        <family val="2"/>
        <charset val="177"/>
      </rPr>
      <t xml:space="preserve"> = מדובר בפריטי רכוש (כל פריט רכוש הוא נכס) כגון: מכונות, ציוד, כלי רכב, מבנים, ריהוט וכיוצא בזה - כלומר פריטים</t>
    </r>
  </si>
  <si>
    <r>
      <rPr>
        <b/>
        <sz val="12"/>
        <rFont val="David"/>
        <family val="2"/>
        <charset val="177"/>
      </rPr>
      <t xml:space="preserve">נדל״ן להשקעה </t>
    </r>
    <r>
      <rPr>
        <sz val="12"/>
        <rFont val="David"/>
        <family val="2"/>
        <charset val="177"/>
      </rPr>
      <t>= מבנים וקרקעות שבבעלות חברה שמיועדים רק להשכרה או למכירה ברווח בעתיד הרחוק (לא משמשים את החברה).</t>
    </r>
  </si>
  <si>
    <t>תרופה חדשה, ורשמה אותה כפטנט. מדובר בנכס כי בזכותו, החברה יכולה להניב הטבות כלכליות בעתיד - לייצר ולמכור ברווח</t>
  </si>
  <si>
    <t xml:space="preserve">את המוצר הייחודי. סוג הנכס הזה נקרא ״נכס בלתי מוחשי״. </t>
  </si>
  <si>
    <r>
      <rPr>
        <b/>
        <sz val="12"/>
        <rFont val="David"/>
        <family val="2"/>
        <charset val="177"/>
      </rPr>
      <t>פטנטים</t>
    </r>
    <r>
      <rPr>
        <sz val="12"/>
        <rFont val="David"/>
        <family val="2"/>
        <charset val="177"/>
      </rPr>
      <t xml:space="preserve"> = נכס המשקף ידע המוגן בזכות בלעדית של החברה להשתמש בידע זה. למשל: חברה השקיעה רבות במחקר ופיתוח להמצאת</t>
    </r>
  </si>
  <si>
    <t xml:space="preserve">בזכות הזכיון החברה יכולה להפעיל את העסק, למכור מוצרים, להנות מהמיתוג שמאפשר לה למכור יותר ולכן זה נכס. </t>
  </si>
  <si>
    <r>
      <rPr>
        <b/>
        <sz val="12"/>
        <rFont val="David"/>
        <family val="2"/>
        <charset val="177"/>
      </rPr>
      <t>זכיונות</t>
    </r>
    <r>
      <rPr>
        <sz val="12"/>
        <rFont val="David"/>
        <family val="2"/>
        <charset val="177"/>
      </rPr>
      <t xml:space="preserve"> = רישיונות להפעלת עסק שברשות החברה, כגון זיכיון (כמו שיש לחלי) של פיצה שמש, זיכיון לארומה וכיוצא בזה. </t>
    </r>
  </si>
  <si>
    <r>
      <rPr>
        <b/>
        <sz val="12"/>
        <rFont val="David"/>
        <family val="2"/>
        <charset val="177"/>
      </rPr>
      <t>תוכנות</t>
    </r>
    <r>
      <rPr>
        <sz val="12"/>
        <rFont val="David"/>
        <family val="2"/>
        <charset val="177"/>
      </rPr>
      <t xml:space="preserve"> = תוכנות מחשב שנרכשו על ידי החברה, צפויים לשמש ולשרת אותה לפעילותה. נכס. </t>
    </r>
  </si>
  <si>
    <r>
      <rPr>
        <b/>
        <sz val="12"/>
        <rFont val="David"/>
        <family val="2"/>
        <charset val="177"/>
      </rPr>
      <t>רווח מניירות ערך, רווח מעליית שווי נדל״ן</t>
    </r>
    <r>
      <rPr>
        <sz val="12"/>
        <rFont val="David"/>
        <family val="2"/>
        <charset val="177"/>
      </rPr>
      <t xml:space="preserve"> = המושג ״רווח״ דומה מאד להכנסה מבחינתנו. רווחים שנובעים מפעילויות שונות יסווגו כהכנסה.</t>
    </r>
  </si>
  <si>
    <r>
      <rPr>
        <b/>
        <sz val="12"/>
        <rFont val="David"/>
        <family val="2"/>
        <charset val="177"/>
      </rPr>
      <t>שכר טרחה, עמלות, דמי ניהול</t>
    </r>
    <r>
      <rPr>
        <sz val="12"/>
        <rFont val="David"/>
        <family val="2"/>
        <charset val="177"/>
      </rPr>
      <t xml:space="preserve"> = שמות אחרים להוצאות. </t>
    </r>
  </si>
  <si>
    <r>
      <rPr>
        <b/>
        <sz val="12"/>
        <rFont val="David"/>
        <family val="2"/>
        <charset val="177"/>
      </rPr>
      <t>הפסד מירידת ערך</t>
    </r>
    <r>
      <rPr>
        <sz val="12"/>
        <rFont val="David"/>
        <family val="2"/>
        <charset val="177"/>
      </rPr>
      <t xml:space="preserve"> = הפסדים שבהם מכירה חברה מהווים חלק מהוצאותיה. מבחינתנו קיימת קירבה גדולה בין הוצאות והפסדים. </t>
    </r>
  </si>
  <si>
    <r>
      <rPr>
        <sz val="12"/>
        <color theme="0"/>
        <rFont val="David"/>
        <family val="2"/>
        <charset val="177"/>
      </rPr>
      <t>,</t>
    </r>
    <r>
      <rPr>
        <sz val="12"/>
        <rFont val="David"/>
        <family val="2"/>
        <charset val="177"/>
      </rPr>
      <t>+ או (-)</t>
    </r>
  </si>
  <si>
    <t>לקוחות (חוב כלפי החברה)</t>
  </si>
  <si>
    <r>
      <t>אשראי לזמן קצר</t>
    </r>
    <r>
      <rPr>
        <sz val="8"/>
        <rFont val="David"/>
        <family val="2"/>
        <charset val="177"/>
      </rPr>
      <t xml:space="preserve"> (כולל משיכת יתר)</t>
    </r>
  </si>
  <si>
    <t>דרך ראשונה לחשב את ההון העצמי לתום שנה:</t>
  </si>
  <si>
    <t xml:space="preserve">ידוע שתמיד ולעולם סך הנכסים = סך ההתחייבויות וההון העצמי. </t>
  </si>
  <si>
    <t>סך הנכסים: 1,851,000</t>
  </si>
  <si>
    <t>סך ההתחייבויות (שוטפות ולא שוטפות):</t>
  </si>
  <si>
    <t xml:space="preserve">226,000 + 34,000 = </t>
  </si>
  <si>
    <t>לפי הגדרת המשוואה לעיל:</t>
  </si>
  <si>
    <t>דרך 2 חשובה להון העצמי בסוף שנה:</t>
  </si>
  <si>
    <t>ל-1.1</t>
  </si>
  <si>
    <t>מרווח והפסד</t>
  </si>
  <si>
    <t>סך ההון העצמי: Y</t>
  </si>
  <si>
    <t>1,851,000 = 260,000 + Y</t>
  </si>
  <si>
    <t>Y = 1,591,000</t>
  </si>
  <si>
    <t>תת נושא חדש לדוחות הכספיים - ובפרט לדוח רווח והפסד: הרכיבים הכלולים במכירות ועלות המכירות</t>
  </si>
  <si>
    <t>כדי לפשט את הדיון בתרגיל הקודם שפתרנו - לא נדרשנו לחשב בעצמנו את המכירות ואת עלות המכירות.</t>
  </si>
  <si>
    <t xml:space="preserve">הערכים היו נתונים באופן מלא. </t>
  </si>
  <si>
    <t>בעולם האמיתי, הערכים הכספיים על בסיסם נבנה שני סעיפים אלו, היא מורכבת יותר.</t>
  </si>
  <si>
    <t xml:space="preserve">מכירות, נטו </t>
  </si>
  <si>
    <t>מהי ההגדרה של קניות, נטו (חישוב עזר, לא מופיע ברווח והפסד)</t>
  </si>
  <si>
    <r>
      <t xml:space="preserve">מה ההגדרה של </t>
    </r>
    <r>
      <rPr>
        <b/>
        <sz val="12"/>
        <color theme="1"/>
        <rFont val="David"/>
        <family val="2"/>
        <charset val="177"/>
      </rPr>
      <t>סעיף המכירות בדוח רווח והפסד</t>
    </r>
    <r>
      <rPr>
        <sz val="12"/>
        <color theme="1"/>
        <rFont val="David"/>
        <family val="2"/>
        <charset val="177"/>
      </rPr>
      <t>:</t>
    </r>
  </si>
  <si>
    <r>
      <t xml:space="preserve">ההגדרה של סעיף </t>
    </r>
    <r>
      <rPr>
        <b/>
        <sz val="12"/>
        <color theme="1"/>
        <rFont val="David"/>
        <family val="2"/>
        <charset val="177"/>
      </rPr>
      <t>עלות המכירות בדוח רווח והפסד</t>
    </r>
    <r>
      <rPr>
        <sz val="12"/>
        <color theme="1"/>
        <rFont val="David"/>
        <family val="2"/>
        <charset val="177"/>
      </rPr>
      <t>:</t>
    </r>
  </si>
  <si>
    <t>מלאי פתיחה (ל-1.1)</t>
  </si>
  <si>
    <t>קניות נטו</t>
  </si>
  <si>
    <t>מלאי סגירה (ל-31.12)</t>
  </si>
  <si>
    <t xml:space="preserve">עלות המכירות </t>
  </si>
  <si>
    <t>תרגיל - מכירות ועלות המכר - חידוד נקודתי</t>
  </si>
  <si>
    <t>בחברת ״רעותים ושפירים״ בע״מ (להלן: ״החברה״) נוצרו הנתונים הבאים בשנת 2024:</t>
  </si>
  <si>
    <t>הנחות מזומן ללקוחות</t>
  </si>
  <si>
    <t>מלאי ל-1.1</t>
  </si>
  <si>
    <t>מלאי ל-31.12</t>
  </si>
  <si>
    <t>הוצאות הובלה למחסן</t>
  </si>
  <si>
    <t>הוצאות הובלה לללקוחות</t>
  </si>
  <si>
    <t xml:space="preserve">א. סווגו את הערכים השונים למכירות נטו ו/או עלות המכר. אם יש נתון שלא שייך לאף קטגוריה, ציינו לאיזה סעיף שונה הוא שייך. </t>
  </si>
  <si>
    <t>ב. חשבו את הרווח הגולמי בחברה.</t>
  </si>
  <si>
    <t>קניות, ברוטו</t>
  </si>
  <si>
    <t>הוצ׳ מימון</t>
  </si>
  <si>
    <r>
      <rPr>
        <b/>
        <sz val="12"/>
        <color theme="1"/>
        <rFont val="David"/>
        <family val="2"/>
        <charset val="177"/>
      </rPr>
      <t>הנחות מזומן</t>
    </r>
    <r>
      <rPr>
        <sz val="12"/>
        <color theme="1"/>
        <rFont val="David"/>
        <family val="2"/>
        <charset val="177"/>
      </rPr>
      <t xml:space="preserve"> ללקוחות</t>
    </r>
  </si>
  <si>
    <r>
      <rPr>
        <b/>
        <sz val="12"/>
        <color theme="1"/>
        <rFont val="David"/>
        <family val="2"/>
        <charset val="177"/>
      </rPr>
      <t>הנחות מזומן</t>
    </r>
    <r>
      <rPr>
        <sz val="12"/>
        <color theme="1"/>
        <rFont val="David"/>
        <family val="2"/>
        <charset val="177"/>
      </rPr>
      <t xml:space="preserve"> מספקים</t>
    </r>
  </si>
  <si>
    <t xml:space="preserve">הערכים שסומנו בירוק הם רכיבי הקניות נטו. </t>
  </si>
  <si>
    <t>לשם חישוב רווח גולמי:</t>
  </si>
  <si>
    <t>למעשה, מטרתנו בתרגיל זה לא היתה לבנות דוח כספי שלם כמו בתרגילים הקודמים;</t>
  </si>
  <si>
    <t xml:space="preserve">אלא רק ללמדנו כיצד להתמודד ולהגדיר ספציפית מה כלול בסעיף המכירות בדוח רווח והפסד ומה כלול בסעיף עלות המכר בדוח רווח והפסד - </t>
  </si>
  <si>
    <t xml:space="preserve">במידה ונקבל שאלה שבה ערכים אלו (מכירות ועלות המכר) לא יהיו נתונים מפורשות, ונצטרך להרכיב אותם לבד (מהחשבונות הכלולים בהם). </t>
  </si>
  <si>
    <t>חיזוק נוסף בנושא עלות מכר ורווח גולמי (בסמסטר 2025א למדנו את זה במפגש 2, לכן לא נעבור לע זה רק תתרגלו בבית)</t>
  </si>
  <si>
    <t>נסח השאלה - לפניכם נתונים בדבר עסקאות שהתרחשו בחברה שהוקמה ב-1.1.2020, בשנת 2020:</t>
  </si>
  <si>
    <t>תרגול נוסף - יישום: כיצד רושמים פקודות יומן (רישום חשבונאי, חובה וזכות) ישירות על בסיס נתוני עסקאות ללא טבלת עזר</t>
  </si>
  <si>
    <t>רקע: בתרגיל הקודם כדי להקל על ההבנה התחלנו בתיעוד עסקאות כלליות באופן שרושם תחילה בטבלת עזר את ההשפעות של כל אירוע</t>
  </si>
  <si>
    <t>על הנכסים, ההתחייבויות ורכיבי ההון העצמי.</t>
  </si>
  <si>
    <t>רק לאחר מכן עברנו לדון בפקודות היומן על בסיס טבלת ההמרות:</t>
  </si>
  <si>
    <t xml:space="preserve">המטרה שלנו כעת היא לתרגל רישום מיידי על בסיס האירוע, בלי ״לעבור״ דרך טבלת העזר. </t>
  </si>
  <si>
    <t>נסח השאלה:</t>
  </si>
  <si>
    <t xml:space="preserve">חברת ״רעות שפירא״ בע״מ הוקמה ב-1.1.2024. במהלך שנה זו אירעו העסקאות והאירועים הכלכליים הבאים. </t>
  </si>
  <si>
    <t xml:space="preserve">עבור כל אחד מהם עליכם לבטא את פקודת היומן (אופן הרישום החשבונאי, חובה / זכות) המתבקש לשם מתן ביטוי לאירוע. </t>
  </si>
  <si>
    <t>א. החברה הנפיקה מניות: 45,000 מניות בנות 4 ש״ח ערך נקוב כל אחת, בתמורה ל-180,000 ש״ח במזומן:</t>
  </si>
  <si>
    <t>בשאלה זו ניתן לזהות עלייה בנכס המזומן;</t>
  </si>
  <si>
    <t>המקור לעלייה במזומן - הון המניות (השקעת בעלים) - הון עצמי.</t>
  </si>
  <si>
    <t>חובה מזומן (עלייה בנכס המזומן)</t>
  </si>
  <si>
    <t>זכות הון מניות (עלייה בהון העצמי)</t>
  </si>
  <si>
    <t xml:space="preserve">ב. החברה נטלה (לקחה) הלוואה ללא ריבית לתקופה של 8 שנים בסך 350,000 ש״ח. כספי ההלוואה הועברו לעו״ש החברה. </t>
  </si>
  <si>
    <t>חלה עלייה בנכס המזומן.</t>
  </si>
  <si>
    <t xml:space="preserve">המקור לעלייה בנכס המזומן - זו התחייבות בגין הלוואה. </t>
  </si>
  <si>
    <t>זכות הלוואה (עלייה בהתחייבות)</t>
  </si>
  <si>
    <t>ג. החברה החזירה 30,000 ש״ח מתוך ההלוואה בסעיף ב</t>
  </si>
  <si>
    <t>חלה ירידה בנכס המזומן</t>
  </si>
  <si>
    <t>זכות מזומן (ירידה בנכס המזומן)</t>
  </si>
  <si>
    <t>חלה ירידה בהתחייבות בגין הלוואה</t>
  </si>
  <si>
    <t>חובה הלוואה (ירידה בהתחייבות)</t>
  </si>
  <si>
    <t>ד. החברה רכשה סחורה מספקים (קניות) בעלות 40,000 ש״ח. היא שילמה במזומן 28,000 ש״ח, את היתרה תשלם לספק</t>
  </si>
  <si>
    <t>בשנה הבאה.</t>
  </si>
  <si>
    <t>חלה עלייה בהוצאות (קניות, חלק מעלות המכר)</t>
  </si>
  <si>
    <t>חלה עלייה בהתחייבות לספקים</t>
  </si>
  <si>
    <t>חובה קניות (הוצאה בגין קניות)</t>
  </si>
  <si>
    <t>זכות ספקים (עלייה בהתחייבות לספקים)</t>
  </si>
  <si>
    <t>ה. החברה קנתה מכונה ענקית לחימום נקניק לעובדי המשרד בעלות של 150,000 ש״ח. היא שילמה 40,000 ש״ח במזומן,</t>
  </si>
  <si>
    <t>את היתרה תשלם לספק בשנה הבאה.</t>
  </si>
  <si>
    <t>חלה עלייה בנכס מכונות הנקניק (רכוש קבוע)</t>
  </si>
  <si>
    <t>חובה מכונת נקניק (עלייה בנכס)</t>
  </si>
  <si>
    <t>חלה עלייה בהתחייבות לספק המכונה</t>
  </si>
  <si>
    <t>ו. החברה קנתה נקניקיות לעובדי המשרד בעלות 500 ש״ח ושילמה במזומן</t>
  </si>
  <si>
    <t>יש להכיר בהוצאות בגין נקניק לעובדים</t>
  </si>
  <si>
    <t>חובה הוצאות בגין נקניק לעובד</t>
  </si>
  <si>
    <t xml:space="preserve">ז. החברה ביצעה מכירות ללקוח בהיקף של 70,000 ש״ח. סכום של 25,000 ש״ח קיבלה במזומן, סכום של 8,000 ש״ח קיבלה בשיק </t>
  </si>
  <si>
    <t>דחוי שייפרע בשנה הבאה. היתרה טרם שולמה.</t>
  </si>
  <si>
    <t>חלה עלייה בנכס המזומן</t>
  </si>
  <si>
    <t>חלה עלייה בהכנסה ממכירות</t>
  </si>
  <si>
    <t xml:space="preserve">זכות הכנסות ממכירות </t>
  </si>
  <si>
    <t>חלה עלייה בנכס שיקים לקבל (שיק דחוי שקיבלתי)</t>
  </si>
  <si>
    <t xml:space="preserve">חובה שיקים לקבל </t>
  </si>
  <si>
    <t>חלה עלייה בחוב הכללי של הלקוח כלפינו (נכס לקוחות)</t>
  </si>
  <si>
    <t>חברת ״ד״ר צבאנים״ עוסקת בייעוץ להטמעת מערכות מחשב של Apple בעסקים. להלן נתונים בדבר שווי שירותי ייעוץ</t>
  </si>
  <si>
    <t>רישום של</t>
  </si>
  <si>
    <t xml:space="preserve">ההכנסה </t>
  </si>
  <si>
    <t>באופן לא מדויק</t>
  </si>
  <si>
    <t>בהנה״ח</t>
  </si>
  <si>
    <t>רישום</t>
  </si>
  <si>
    <t>בהתאם לעקרון</t>
  </si>
  <si>
    <t>היקף השירות</t>
  </si>
  <si>
    <t>שסופק (לדוח)</t>
  </si>
  <si>
    <t>בגין ההכנסה לפי ההפרש</t>
  </si>
  <si>
    <t>בין ההכנסה בפועל (שירות)</t>
  </si>
  <si>
    <t xml:space="preserve">בירוק, לבין ההכנסה לפי </t>
  </si>
  <si>
    <t>מזומן (בהנה״ח) - צהוב.</t>
  </si>
  <si>
    <t>מי חייב למי וכמה</t>
  </si>
  <si>
    <t>האם אני חייב ללקוח</t>
  </si>
  <si>
    <t>או שהלקוח חייב לי?</t>
  </si>
  <si>
    <t>רישום התאמה - בכל שנה</t>
  </si>
  <si>
    <t>במצטבר</t>
  </si>
  <si>
    <t>בעסקאות לשירות מתמשך:</t>
  </si>
  <si>
    <t>הלקוח חייב לי = הכנסות לקבל  (נכס)</t>
  </si>
  <si>
    <t>אני חייב ללקוח = הכנסות מראש (התחייבות)</t>
  </si>
  <si>
    <t>נתחיל מטבלה עם מושגים הגיוניים אך לא מדויקים, רק כדי להבין את העיקרון:</t>
  </si>
  <si>
    <t>כעת, ננסה לראות כיצד הרישום החשבונאי המדויק מתבצע במצב כזה:</t>
  </si>
  <si>
    <t>ח׳ מזומן 420
ז׳ הכנסות 420</t>
  </si>
  <si>
    <t>ח׳ מזומן 80
ז׳ הכנסות 80</t>
  </si>
  <si>
    <t>ח׳ מזומן 300
ז׳ הכנסות 300</t>
  </si>
  <si>
    <t>ח׳ מזומן 50
ז׳ הכנסות 50</t>
  </si>
  <si>
    <r>
      <t xml:space="preserve">ההכנסה </t>
    </r>
    <r>
      <rPr>
        <b/>
        <sz val="12"/>
        <rFont val="David"/>
        <family val="2"/>
        <charset val="177"/>
      </rPr>
      <t>פקודה</t>
    </r>
    <r>
      <rPr>
        <sz val="12"/>
        <rFont val="David"/>
        <family val="2"/>
        <charset val="177"/>
      </rPr>
      <t xml:space="preserve"> </t>
    </r>
  </si>
  <si>
    <t>ז׳ הכנסות לקבל 100
ז׳ הכנסות מראש 120
ח׳ הכנסות 220</t>
  </si>
  <si>
    <t>ח׳ הכנסות מראש 70
ז׳ הכנסות 70</t>
  </si>
  <si>
    <t>ח׳ הכנסות מראש 50
ז׳ הכנסות 50</t>
  </si>
  <si>
    <t>בצבע גוף / כתום - פקודת התאמה. יש לה שני חלקים. חלק אחד מטפל בהפרש בין ההכנסה שהוכרה לפי מזומן (בצהוב) לפי ההכנסה</t>
  </si>
  <si>
    <t xml:space="preserve">שצריכה להיות מוכרת לפי שווי שירות (בירוק). החלק השני קשור ליתרת החתך / התחשבנות בלבן (מי חייב למי). </t>
  </si>
  <si>
    <t>בלבן - חשבון חתך / התחשבנות, מתאר מי חייב למי וכמה. כדי לחשב את ערכו, יש לסכום את כלל הערכים בצהוב (מזומן)</t>
  </si>
  <si>
    <t>יתרת חתך:</t>
  </si>
  <si>
    <t>ז׳ הכנסה כשמגדילים הכנסה</t>
  </si>
  <si>
    <t>אם חלה עלייה בהכנסה לקבל: ח׳ הכנסה לקבל</t>
  </si>
  <si>
    <t>אם חלה ירידה בהכנסה לקבל: ז׳ הכנסה לקבל</t>
  </si>
  <si>
    <t>אם חלה עלייה בהכנסה מראש: ז׳ הכנסה מראש</t>
  </si>
  <si>
    <t>אם המזומן גבוה מהשירות:</t>
  </si>
  <si>
    <t>ההפרש = הכנסות מראש (התחייבות)</t>
  </si>
  <si>
    <t>אם השירות גבוה מהמזומן:</t>
  </si>
  <si>
    <t>ההפרש = הכנסות לקבל (נכס)</t>
  </si>
  <si>
    <t>ח׳ הכנסה כשמקטינים הכנסה</t>
  </si>
  <si>
    <t>חובה מזומן 15
זכות הכנסה 15</t>
  </si>
  <si>
    <t>חובה מזומן 7
זכות הכנסה 7</t>
  </si>
  <si>
    <t>חובה מזומן 40
זכות הכנסה 40</t>
  </si>
  <si>
    <t>חובה מזומן 5
זכות הכנסה 5</t>
  </si>
  <si>
    <t>הכנסות מראש 6</t>
  </si>
  <si>
    <t>הכנסות מראש 5</t>
  </si>
  <si>
    <t>הכנסות מראש 25</t>
  </si>
  <si>
    <t>הכנסות לקבל 10</t>
  </si>
  <si>
    <t>ח׳ הכנסה 6
ז׳ הכנסה מראש 6</t>
  </si>
  <si>
    <t>ז׳ הכנסה 1
ח׳ הכנסה מראש 1</t>
  </si>
  <si>
    <t>ח׳ הכנסה 20
ז׳ הכנסה מראש 20</t>
  </si>
  <si>
    <t>אם חלה ירידה בהכנסה מראש: ח׳ הכנסה מראש</t>
  </si>
  <si>
    <t>ז׳ הכנסה 35
ח׳ הכנסות מראש 25
ח׳ הכנסות לקבל 10</t>
  </si>
  <si>
    <t>תזכורת וחיבור למפגש הקודם - חתך והכרה בהכנסות ובהוצאות:</t>
  </si>
  <si>
    <t>שבהקשר להוצאות</t>
  </si>
  <si>
    <t>תהיה הוצאות מראש</t>
  </si>
  <si>
    <t>או לשלם</t>
  </si>
  <si>
    <t>אם יוצרים/מגדילים נכס (הוצ׳ מראש) - ח׳</t>
  </si>
  <si>
    <t>אם יוצרים/מגדילים התחייבות (הוצ׳ לשלם) - ז׳</t>
  </si>
  <si>
    <t>אם מכירים בהוצ׳ נוספת - ח׳</t>
  </si>
  <si>
    <t>אם מקטינים הוצ׳ - ז׳</t>
  </si>
  <si>
    <t>ח׳ הוצאות לשלם 140
ז׳ הוצאות 140</t>
  </si>
  <si>
    <t>ח׳ הוצאות 5
ז׳ מזומן 5</t>
  </si>
  <si>
    <t>ח׳ הוצאות 20
ז׳ מזומן 20</t>
  </si>
  <si>
    <t>ח׳ הוצאות 30
ז׳ מזומן 30</t>
  </si>
  <si>
    <t>ח׳ הוצאות 25
ז׳ מזומן 25</t>
  </si>
  <si>
    <t>הוצאות מראש 400</t>
  </si>
  <si>
    <t>ח׳ הוצאות שכר 700
ז׳ מזומן 700</t>
  </si>
  <si>
    <t>הוצאות לשלם 90</t>
  </si>
  <si>
    <t>ח׳ הוצאות שכר 90
ז׳ הוצאות לשלם 90</t>
  </si>
  <si>
    <t>ז׳ הכנסות מראש 80
ח׳ הכנסות 80</t>
  </si>
  <si>
    <t xml:space="preserve">חברת ״נקניקי החורף״ הוקמה ב-1.1.2020. החברה עוסקת במגוון רחב של פעילויות עסקיות, ובעיקר ממכר נקניק חם. </t>
  </si>
  <si>
    <t>כאשר אני דן בלקוחות, 3 ״כרטיסי חשבון״ ילוו את רישומיי:</t>
  </si>
  <si>
    <t>לקוחות, ברוטו;     הלח״מ ;    הוצאות הלח״מ</t>
  </si>
  <si>
    <t xml:space="preserve">והענקנו לנכסים אלו דוגמא בולטת - </t>
  </si>
  <si>
    <t>הדגמות: מכונות, ציוד, כלי רכב, מבנים, ריהוט, מחשבים וכיו״ב.</t>
  </si>
  <si>
    <t>נניח שקניתי מכונית ואני מתכנן להשתמש בה תקופה ארוכה (רכוש קבוע). באיזה סכום ארשום אותה בדוחות</t>
  </si>
  <si>
    <t xml:space="preserve">שלי כאשר קניתי ובתקופות מאוחרות יותר (באיזה סכום = מדידה). </t>
  </si>
  <si>
    <t>בסיס מדידה 1</t>
  </si>
  <si>
    <t>לא מחייב: ״הערכה מחדש״</t>
  </si>
  <si>
    <t>מציגות את הפריט</t>
  </si>
  <si>
    <t>בסכום הקרוב לשוויו העדכני</t>
  </si>
  <si>
    <t>לקורס שלנו:</t>
  </si>
  <si>
    <t>בסיס מדידה 2 (המחייב בקורס)</t>
  </si>
  <si>
    <t>לפי העלות המקורית (ההיסטורית) שלהם</t>
  </si>
  <si>
    <t>בניכוי הפחת שנצבר (״שחיקה״)</t>
  </si>
  <si>
    <t xml:space="preserve">עלות מופחתת = </t>
  </si>
  <si>
    <t>אנו יודעים שפריט רכוש קבוע נמדד (אצלנו) לפי עלות פחות הפחת הנצבר. לכן צריך להציג שיטות מקובלות לחישוב</t>
  </si>
  <si>
    <t>הפחת השנתי והפחת המצטבר. השיטה הנוחה ביותר (והנפוצה ביותר) היא שיטת הקו הישר, שיטה שמניחה שהנכס</t>
  </si>
  <si>
    <t>נשחק בקצב קבוע (בסכום קבוע) על פני זמן. נדגים את אופן החישוב והמשמעויות להלן:</t>
  </si>
  <si>
    <t>עלות (היסטורית, ברכישה)</t>
  </si>
  <si>
    <t>פחת נצבר (סיכום הוצ׳ פחת)</t>
  </si>
  <si>
    <t>ערך ספרים/ע. מופחתת</t>
  </si>
  <si>
    <t>מהווה את הסכום שיוצג במאזן (בדוח על המצב הכספי) כנכס</t>
  </si>
  <si>
    <t>בתמצית:</t>
  </si>
  <si>
    <t>בכל שנה ושנה, יש להציג בדוח רווח והפסד הוצאות פחת בסך 10,000 ש״ח.</t>
  </si>
  <si>
    <t xml:space="preserve">בכל אחת מהשנים, במאזן, בצד הנכסים, יוצג הרכוש הקבוע בסכום שיילך ויקטן בכל שנה ב-10,000. </t>
  </si>
  <si>
    <t>יוצג כנטו נכס במאזן</t>
  </si>
  <si>
    <t>לדיווח - אחרי המכירה</t>
  </si>
  <si>
    <t>גם העלות וגם הפחת הנצבר מתאפסים</t>
  </si>
  <si>
    <t>מיד לאחר המכירה</t>
  </si>
  <si>
    <t>הוצאות הפחת לא מתאפסות בשנת המכירה, רק נעצרות</t>
  </si>
  <si>
    <t>10*11/2 = 55</t>
  </si>
  <si>
    <t>סכום ספרות</t>
  </si>
  <si>
    <t>מתאריך</t>
  </si>
  <si>
    <t>עד תאריך</t>
  </si>
  <si>
    <t>ספרה</t>
  </si>
  <si>
    <t xml:space="preserve">D(2018) = (5,000,000-800,000) * ((10*9/12)/55) = </t>
  </si>
  <si>
    <t xml:space="preserve">D(2019) = (5,000,000-800,000) * ((10*3/12 + 9*9/12)/55) = </t>
  </si>
  <si>
    <t>D(2020) = (5,000,000-800,000) * ((9*3/12 + 8*9/12)/55)</t>
  </si>
  <si>
    <t>פתרון בהצגה מקוצרת / ללא ציר - סכום ספרות והוצאות פחת שנתיות</t>
  </si>
  <si>
    <t>שאלה 7 - רכוש קבוע, סכום ספרות, קנלו</t>
  </si>
  <si>
    <t>קנלו אלברז, סטודנט מצטיין באקדמית עמק יזרעאל, רכש לחברה שבבעלותו מכונה</t>
  </si>
  <si>
    <t xml:space="preserve">ענקית לחימום נקניק בעלות של 700,000 ש״ח. </t>
  </si>
  <si>
    <t xml:space="preserve">המכונה מופחתת על פני 7 שנים בשיטת סכום ספרות השנים (היורד - סס״י), </t>
  </si>
  <si>
    <t xml:space="preserve">וידוע שערך השייר / הגרט של המכונה 100,000 ש״ח. </t>
  </si>
  <si>
    <t xml:space="preserve">המכונה נרכשה ב-1.1.2020, הגיעה לחברה ב-1.3.2020 והפכה לזמינה לשימוש ב-1.6.2020. </t>
  </si>
  <si>
    <t xml:space="preserve">נדרש: חשבו והציגו את הוצאות הפחת בכל אחת מהשנים 2020-2023, </t>
  </si>
  <si>
    <t xml:space="preserve">ואת הפחת הנצבר והעלות המופחתת לתום כל אחת משנים אלו. </t>
  </si>
  <si>
    <t>תזכורת לגבי שלבי העבודה:</t>
  </si>
  <si>
    <t xml:space="preserve">חשבו את סכום הספרות - </t>
  </si>
  <si>
    <t>n*(n+1)/2</t>
  </si>
  <si>
    <t>כאשר n הוא תקופת ההפחתה של הנכס.</t>
  </si>
  <si>
    <t xml:space="preserve">הציגו טבלה / ציר שבה תרשמו את שנת ההתחלה והסיום של כל שנת חיים של הנכס ואת הספרה הרלוונטית (בסדר יורד). </t>
  </si>
  <si>
    <t xml:space="preserve">הוצאות הפחת תחושבנה לפי היחס בין הספרה / הספרות בשנה הרלוונטית לסכום הספרות, וכל היחס יוכפל בעלות בניכוי הגרט. </t>
  </si>
  <si>
    <t>7 * (7 + 1) / 2 = 28</t>
  </si>
  <si>
    <t>7*7/12</t>
  </si>
  <si>
    <t>7*5/12 + 6 * 7/12</t>
  </si>
  <si>
    <t>6*5/12 + 5*7/12</t>
  </si>
  <si>
    <t>5*5/12 + 4*7/12</t>
  </si>
  <si>
    <t xml:space="preserve">ב. להמשיך ולתרגל את שיטת סכום ספרות השנים.  </t>
  </si>
  <si>
    <r>
      <rPr>
        <b/>
        <sz val="12"/>
        <color theme="1"/>
        <rFont val="David"/>
        <family val="2"/>
        <charset val="177"/>
      </rPr>
      <t>א. מכונה ענקית לחימום נקניק:</t>
    </r>
    <r>
      <rPr>
        <sz val="12"/>
        <color theme="1"/>
        <rFont val="David"/>
        <family val="2"/>
        <charset val="177"/>
      </rPr>
      <t xml:space="preserve"> בעלות 50,000 ש״ח. פרט לעלות המכונה שילמה החברה עבור הובלתה לחברה</t>
    </r>
  </si>
  <si>
    <r>
      <rPr>
        <b/>
        <sz val="12"/>
        <color theme="1"/>
        <rFont val="David"/>
        <family val="2"/>
        <charset val="177"/>
      </rPr>
      <t xml:space="preserve">ב. מבנה אשפוז: </t>
    </r>
    <r>
      <rPr>
        <sz val="12"/>
        <color theme="1"/>
        <rFont val="David"/>
        <family val="2"/>
        <charset val="177"/>
      </rPr>
      <t>כדי לאכלס את העובדים שחלו מאכילת נקניק כל היום, רכשה החברה מבנה בעלות של 500,000 ש״ח.</t>
    </r>
  </si>
  <si>
    <t>בניכוי פחת נצבר</t>
  </si>
  <si>
    <t>עמודת עזר</t>
  </si>
  <si>
    <t>ערב המכירה</t>
  </si>
  <si>
    <t>הדיווח לאחר</t>
  </si>
  <si>
    <t>המכירה</t>
  </si>
  <si>
    <t xml:space="preserve">24,000 - 14,667 = </t>
  </si>
  <si>
    <t>פתרון מקוצר המזכה בניקוד מלא:</t>
  </si>
  <si>
    <t>פירוט מלא וחופר על כל הרכיבים (לא נעבור בכיתה, שיהיה לכם לבית אם לא מובן):</t>
  </si>
  <si>
    <t xml:space="preserve">D(2022) = (80,000/5) * 3/12 = </t>
  </si>
  <si>
    <t>ב-1.4.2022 המכונה נמכרה:</t>
  </si>
  <si>
    <t>ס״ס:</t>
  </si>
  <si>
    <t xml:space="preserve">20 * 21 / 2 = </t>
  </si>
  <si>
    <t xml:space="preserve">n * (n + 1) / 2 = </t>
  </si>
  <si>
    <t>פקודה לרישום הוצאות פחת - עד המכירה - הוצאות הפחת בשנה זו הן 1.1.2022 - 1.3.2022 כלומר לחודשיים בלבד</t>
  </si>
  <si>
    <t>נציג את הנתונים רגע לפני המכירה לטובת הטיפול בה:</t>
  </si>
  <si>
    <t xml:space="preserve">80,000/8 * (2 + 2/12) = </t>
  </si>
  <si>
    <t>הכרה בנכס המזומן שהתקבל</t>
  </si>
  <si>
    <t>איפוס העלות (כי לאחר המכירה גם העלות וגם הפחת הנצבר מתאפסים)</t>
  </si>
  <si>
    <t>הפחת הנצבר מתאפס גם הוא</t>
  </si>
  <si>
    <t>הפסד הוא סוג של הוצאה, ולכן נרשם בחובה, אופן חישובו לעיל</t>
  </si>
  <si>
    <t>תזכורת לתהליך עבודה:</t>
  </si>
  <si>
    <t>א. חשבו את סכום הספרות</t>
  </si>
  <si>
    <t>n * (n + 1)/2</t>
  </si>
  <si>
    <t>ב. תנו ספרה לכל שנה, בסדר יורד. השנה הראשונה</t>
  </si>
  <si>
    <t>תקבל את הספרה n (אורך חיים), השנה השניה</t>
  </si>
  <si>
    <t>את הספרה n-1 (אורך חיים פחות אחת) וכן הלאה.</t>
  </si>
  <si>
    <t xml:space="preserve">ג. כדי לחשב את הוצאות הפחת בכל שנה - </t>
  </si>
  <si>
    <t>לוקחים את הספרה (או החלק היחסי ממנה)</t>
  </si>
  <si>
    <t>מחלקים בסכום הספרות</t>
  </si>
  <si>
    <t>וכל זה - כפול העלות פחות השייר / הגרט</t>
  </si>
  <si>
    <t>סכום ספרות - אופן חישוב:</t>
  </si>
  <si>
    <t xml:space="preserve">5 * 6 / 2 = </t>
  </si>
  <si>
    <t xml:space="preserve">430,000 - 363,333 = </t>
  </si>
  <si>
    <t>שאלה 5 - ברמת בחינה - להתנסות כיתה - מבחינה שנערכה בסמסטר 2024א - מועד א</t>
  </si>
  <si>
    <t>שאלה 5 - ברמת בחינה - להתנסות כיתה - מבחינה שנערכה בסמסטר 2024א - מועד ב</t>
  </si>
  <si>
    <t xml:space="preserve">עלות </t>
  </si>
  <si>
    <t>ע. מופחתת</t>
  </si>
  <si>
    <t>עלות פריט רכוש קבוע תכלול את כל העלויות</t>
  </si>
  <si>
    <t>שהן חיוניות להבאתו למיקום ולמצב שמיש.</t>
  </si>
  <si>
    <t>במידה ונדרשות לפי חוק עלויות בדיקה,</t>
  </si>
  <si>
    <t>הפריט לא שמיש עד שלא נערכה הבדיקה.</t>
  </si>
  <si>
    <t xml:space="preserve">לכן עלויות הבדיקה הן חלק מעלות הפריט (ולא הוצאה). </t>
  </si>
  <si>
    <t xml:space="preserve">8 * 9 / 2 = </t>
  </si>
  <si>
    <t>ככלל - מלאי הפתיחה הוא הוצאה (חלק מעלות המכר). אך בתור התחלה מוצג כנכס, ואז מעודכן</t>
  </si>
  <si>
    <t>המלאי לתום השנה הוא נכס</t>
  </si>
  <si>
    <t>מלאי הסגירה משפיע על עלות המכר</t>
  </si>
  <si>
    <r>
      <t xml:space="preserve">מלאי 
31.12
</t>
    </r>
    <r>
      <rPr>
        <b/>
        <sz val="12"/>
        <rFont val="David"/>
        <family val="2"/>
        <charset val="177"/>
      </rPr>
      <t>מאזן</t>
    </r>
  </si>
  <si>
    <r>
      <t xml:space="preserve">מלאי
31.12
</t>
    </r>
    <r>
      <rPr>
        <b/>
        <sz val="12"/>
        <rFont val="David"/>
        <family val="2"/>
        <charset val="177"/>
      </rPr>
      <t>רוו״ה</t>
    </r>
  </si>
  <si>
    <t>מיון</t>
  </si>
  <si>
    <t xml:space="preserve">של </t>
  </si>
  <si>
    <t>קיימות</t>
  </si>
  <si>
    <t>השלמת</t>
  </si>
  <si>
    <t>סימני</t>
  </si>
  <si>
    <t>שאלה</t>
  </si>
  <si>
    <t>ביתרות קיימות</t>
  </si>
  <si>
    <t>המטרה של שלב זה</t>
  </si>
  <si>
    <t>היא לבטא את הערך של הנתון בחברה</t>
  </si>
  <si>
    <t>לפני כל תיקון או עדכון נדרש</t>
  </si>
  <si>
    <t>מדוע? כי בגין ערך זה החברה כבר</t>
  </si>
  <si>
    <t>רשמה פקודות יומן</t>
  </si>
  <si>
    <t>ולכן השלב הזה ללא פקודות</t>
  </si>
  <si>
    <t>עדכון יתרות</t>
  </si>
  <si>
    <t>לתום</t>
  </si>
  <si>
    <t>המטרה:</t>
  </si>
  <si>
    <t>לעדכון כל</t>
  </si>
  <si>
    <t>הערכים</t>
  </si>
  <si>
    <t>לטובת דוח</t>
  </si>
  <si>
    <t>מעודכן</t>
  </si>
  <si>
    <t>למשקיע</t>
  </si>
  <si>
    <t>עריכת דיווח</t>
  </si>
  <si>
    <t>על בסיס</t>
  </si>
  <si>
    <t>היתרות</t>
  </si>
  <si>
    <t>המעודכנות</t>
  </si>
  <si>
    <t>סיום התרגיל</t>
  </si>
  <si>
    <t>נתון - עלות 900 בתוספת הובלה 100</t>
  </si>
  <si>
    <r>
      <rPr>
        <b/>
        <sz val="12"/>
        <color rgb="FFFF0000"/>
        <rFont val="David"/>
        <family val="2"/>
        <charset val="177"/>
      </rPr>
      <t>בשורה חדשה</t>
    </r>
    <r>
      <rPr>
        <sz val="12"/>
        <color theme="1"/>
        <rFont val="David"/>
        <family val="2"/>
        <charset val="177"/>
      </rPr>
      <t xml:space="preserve"> בטבלת היתרות - הוצאות פחת</t>
    </r>
  </si>
  <si>
    <t>זכות מלאי פתיחה - מאזן (נכסים)</t>
  </si>
  <si>
    <t>חובה מלאי פתיחה - רווח והפסד (הוצאות)</t>
  </si>
  <si>
    <t>לקוחות לפני עדכון</t>
  </si>
  <si>
    <t>הגדלתם בעקבות האירוע</t>
  </si>
  <si>
    <t>לקוחות מעודכן</t>
  </si>
  <si>
    <t>הכנסות ממכירות לפני עדכון</t>
  </si>
  <si>
    <t>הגדלת מכירות בגין האירוע</t>
  </si>
  <si>
    <t>מכירות - מעודכן</t>
  </si>
  <si>
    <t>הוצאות שכר - לפני עדכון</t>
  </si>
  <si>
    <t>עדכון - הגדלה ב-</t>
  </si>
  <si>
    <t>הוצאות שכר - ערך מעודכן</t>
  </si>
  <si>
    <t>בנוסף יש ליצור התחייבות חדשה:</t>
  </si>
  <si>
    <t xml:space="preserve">שורה חדשה - הוצאות לשלם (התחייבות) </t>
  </si>
  <si>
    <t>העלות הכוללת של המחשבים 400, מתוכם נרכשו 75% מהמחשבים ב-1.1.2020</t>
  </si>
  <si>
    <t>והיתר נרכשו ב-1.1.2021</t>
  </si>
  <si>
    <t>המחשבים מופחתים על פני 8 שנים בלי שייר / גרט</t>
  </si>
  <si>
    <t xml:space="preserve">מלאי הסגירה כולל 20 אלפי יחידות בעלות של 8 שח ליח׳, </t>
  </si>
  <si>
    <t>שווי המימוש נטו ליח׳ 6 ש״ח</t>
  </si>
  <si>
    <r>
      <t xml:space="preserve">מחשבים - פחת נצבר 1.1.2021 - </t>
    </r>
    <r>
      <rPr>
        <b/>
        <sz val="12"/>
        <rFont val="David"/>
        <family val="2"/>
        <charset val="177"/>
      </rPr>
      <t>שיחזור 1</t>
    </r>
  </si>
  <si>
    <r>
      <t xml:space="preserve">מלאי סגירה - מאזן - </t>
    </r>
    <r>
      <rPr>
        <b/>
        <sz val="12"/>
        <rFont val="David"/>
        <family val="2"/>
        <charset val="177"/>
      </rPr>
      <t>שיחזור 2</t>
    </r>
  </si>
  <si>
    <t>פתרון שאלות חזרה - מפגשון אחרון - 27.1.2025</t>
  </si>
  <si>
    <t>דוגמא לשאלה בסגנון בחינה - חתך (עקרונות הכרה בהכנסות ובהוצאות)</t>
  </si>
  <si>
    <t xml:space="preserve">חברת ״קנלו״ צורכת שירותי חימום נקניק שאותם היא משווקת ללקוחות ברחבי הארץ במשאיות מלוכלכות. </t>
  </si>
  <si>
    <t>להלן נתונים לגבי היקפי שירותים שצרכה החברה בשנים שונות לצד התשלומים שבוצעו בעדם לספק החימום</t>
  </si>
  <si>
    <t>באותן השנים:</t>
  </si>
  <si>
    <t xml:space="preserve">שווי שירות </t>
  </si>
  <si>
    <t xml:space="preserve">שנצרך </t>
  </si>
  <si>
    <t>במזומן לספק</t>
  </si>
  <si>
    <t>במהלך השנה</t>
  </si>
  <si>
    <t xml:space="preserve">א. הציגו בכל שנה פקודות רלוונטיות לרישום ההכנסות / ההוצאות מנקודת ראות קנלו בהנחה שהדיווחים </t>
  </si>
  <si>
    <t>בהנהלת החשבונות הם על בסיס מזומן.</t>
  </si>
  <si>
    <t xml:space="preserve">ב. מהי ההכנסה או ההוצאה השנתית בחברת קנלו בגין שירותי חימום נקניק. </t>
  </si>
  <si>
    <t>ג. מהי יתרת החתך לתום כל אחת מהשנים.</t>
  </si>
  <si>
    <t xml:space="preserve">ד. רשמו פקודת התאמה עבור כל אחת מהשנים. </t>
  </si>
  <si>
    <t>בדווח רוו״ה</t>
  </si>
  <si>
    <t xml:space="preserve">ד </t>
  </si>
  <si>
    <t>ח׳ הוצאות חימום נקניק מסריח 40
ז׳ מזומן 40</t>
  </si>
  <si>
    <t>ח׳ הוצאות חימום נקניק מסריח 380
ז׳ מזומן 380</t>
  </si>
  <si>
    <t>ח׳ הוצאות חימום נקניק מסריח 70
ז׳ מזומן 70</t>
  </si>
  <si>
    <t>ח׳ הוצאות חימום נקניק מסריח 100
ז׳ מזומן 100</t>
  </si>
  <si>
    <t>ח׳ הוצאות חימום נקניק מסריח 610
ז׳ מזומן 610</t>
  </si>
  <si>
    <t>אין</t>
  </si>
  <si>
    <t>ח׳ הוצאות נקניק 60
ז׳ הוצאות לשלם 60</t>
  </si>
  <si>
    <t>ח׳ הוצאות לשלם 60
ח׳ הוצאות מראש 120
ז׳ הוצאות נקניק 180</t>
  </si>
  <si>
    <t>ח׳ הוצאות נקניק 80
ז׳ הוצאות מראש 80</t>
  </si>
  <si>
    <t>ח׳ הוצאות נקניק 200
ז׳ הוצאות מראש 40
ז׳ הוצאות לשלם 160</t>
  </si>
  <si>
    <t>ח׳ הוצאות לשלם 160
ז׳ הוצאות נקניק 160</t>
  </si>
  <si>
    <t>דוגמא לשאלה בסגנון בחינה - לקוחות (והפרשה לחובות מסופקים)</t>
  </si>
  <si>
    <t xml:space="preserve">בחברת ״פץ פץ ברזים״ מוכרים קולרים לדוכני חימום נקניק. </t>
  </si>
  <si>
    <t>יתרת הלקוחות בחברה (ברוטו) ל-31.12.2020 היא 70,000 ש״ח ושיעור ההלח״מ למועד זה הנו 4%.</t>
  </si>
  <si>
    <t>עסקאות שבוצעו ב-2021:</t>
  </si>
  <si>
    <t>א. החברה מכרה ללקוחות במזומן בסכום של 30,000 ש״ח.</t>
  </si>
  <si>
    <t>ב. החברה מכרה ללקוחות באשראי בסכום של 300,000 ש״ח.</t>
  </si>
  <si>
    <t>ג. החברה העניקה זיכוי ללקוחות שרכשו באשראי בסכום של 20,000 ש״ח.</t>
  </si>
  <si>
    <t>ד. החברה גבתה מלקוחות (בגין מכירות באשראי) סכום של 78,000 ש״ח.</t>
  </si>
  <si>
    <t>ה. החברה גילתה / רשמה חובות אבודים בסכום של 2,000 ש״ח.</t>
  </si>
  <si>
    <t>ו. נכון ליום 31.12.2021 החברה זיהתה שתי קבוצות של לקוחות בעיתיים כדלקמן:</t>
  </si>
  <si>
    <t>קבוצה 1</t>
  </si>
  <si>
    <t>קבוצה 2</t>
  </si>
  <si>
    <t>חוב לקוח - ש״ח</t>
  </si>
  <si>
    <t>שיעור ההלח״מ</t>
  </si>
  <si>
    <t>בגין כל יתר חובות הלקוחות, שיעור ההלח״מ נותר 4%.</t>
  </si>
  <si>
    <t xml:space="preserve">א. מהן הוצאות ההלח״מ לשנת 2021. </t>
  </si>
  <si>
    <t xml:space="preserve">ב. הציגו את ביאור הלקוחות נטו ליום 31.12.2021. </t>
  </si>
  <si>
    <t>עסקאות</t>
  </si>
  <si>
    <t>יתרת פתיחה 31.12.2020</t>
  </si>
  <si>
    <t xml:space="preserve">מכירה במזומן לא רלוונטית! לא משפיעה על חוב הלקוח, כי מכרנו לו והוא שילם מיד. </t>
  </si>
  <si>
    <t>מכירה באשראי</t>
  </si>
  <si>
    <t>זיכוי ללקוח באשראי</t>
  </si>
  <si>
    <t>גבייה מלקוחות</t>
  </si>
  <si>
    <t>יתרות סגירה 31.12.2021</t>
  </si>
  <si>
    <t>א. הוצאות הלח״מ = 17,400.</t>
  </si>
  <si>
    <t>ב. ביאור הלקוחות נטו:</t>
  </si>
  <si>
    <t>בניכוי הלח״מ</t>
  </si>
  <si>
    <t>פתרון בגישה מקוצרת (אפשר בהחלט לפתור בגישה של חשבונות T חובה וזכות כמו שהצגנו בכיתה, מה שנוח יותר):</t>
  </si>
  <si>
    <t>דוגמא לשאלה בסגנון בחינה - רכוש קבוע</t>
  </si>
  <si>
    <t xml:space="preserve">לפניכם שני חלקים לגבי רכוש קבוע. יש להשיב על כל חלק בנפרד. </t>
  </si>
  <si>
    <t xml:space="preserve">חברת קנלו 2 פיתחה פטנט לייצור נקניק משאריות ביוב. </t>
  </si>
  <si>
    <t>לשם התחלת הליך הייצור, רכשה מכונה לחימום נקניק בתאריך 1.1.2020, עלותה הישירה 100,000 ש״ח,</t>
  </si>
  <si>
    <t xml:space="preserve">עלות הובלתה לחברה 20,000 ש״ח. היא הגיעה לחברה ב-1.3.2020, הפכה לזמינה לשימוש ב-1.5.2020, </t>
  </si>
  <si>
    <t xml:space="preserve">והחלה לשמש את החברה בפועל ב-1.7.2020. </t>
  </si>
  <si>
    <t>המכונה מפחיתה מכונות חימום נקניק על פני תקופה של 5 שנים, בשיטת הקו הישר, כאשר ערך השייר / הגרט שלהן</t>
  </si>
  <si>
    <t>הנו 25,000 ש״ח.</t>
  </si>
  <si>
    <t xml:space="preserve">בתאריך 30.9.2022 נרכשה מכונת חימום נקניק נוספת, זהה במאפייניה. </t>
  </si>
  <si>
    <t xml:space="preserve">א. הציגו את מכלול רכיבי הרכוש הקבוע כנכס בדוחות (עלות, פחת נצבר, עלות מופחתת) לתום כל אחת מהשנים 2020-2023. </t>
  </si>
  <si>
    <t xml:space="preserve">ב. חשבו והציגו את הוצאות הפחת לכל אחת מהשנים 2020-2023. </t>
  </si>
  <si>
    <t xml:space="preserve">ג. הניחו שהמכונה הישנה בלבד נמכרה ב-30.9.2024. מהו רווח / הפסד ההון במכירה אם התמורה 68,000 ש״ח. </t>
  </si>
  <si>
    <t>א+ב.</t>
  </si>
  <si>
    <t>ג. רווח / הפסד ההון:</t>
  </si>
  <si>
    <t>עלות מופחתת - ערב המכירה</t>
  </si>
  <si>
    <t>הפחתה מ-1.5.2020</t>
  </si>
  <si>
    <t>עד 30.9.2024</t>
  </si>
  <si>
    <t>120,000 - (120,000 - 25,000)/5 * (4 + 5/12)=</t>
  </si>
  <si>
    <t>עלות הפריט שנמכר</t>
  </si>
  <si>
    <t>פחת נצבר של הפריט שנמכר, לפי פחת לשנה</t>
  </si>
  <si>
    <t>כפול 4 שנים ו-5 חודשים שחלפו בטווח: 1.5.2020-30.9.2024</t>
  </si>
  <si>
    <t>רווח הון (הפרש חיובי)</t>
  </si>
  <si>
    <t>חברת ״תותחי הכפר״ רכשה ב-1.9.2020 מכונה לחימום נקניק בעלות של 150,000 ש״ח. עלות ההרכבה של המכונה</t>
  </si>
  <si>
    <t>בחברה היא 30,000 ש״ח והיא הסתיימה ב-1.10.2020.</t>
  </si>
  <si>
    <t>החברה מפחיתה מכונות חימום נקניק בשיטת סכום ספרות השנים היורד (סס״י) בהתאם להערכת תקופת הפחתה</t>
  </si>
  <si>
    <t xml:space="preserve">א. חשבו והציגו את ביאור הרכוש הקבוע (עלות, פחת נצבר, עלות מופחתת) עבור השנים 2020, 2021, 2022. </t>
  </si>
  <si>
    <t xml:space="preserve">ב. הציגו את הוצאות הפחת לכל אחת מהשנים. </t>
  </si>
  <si>
    <t>ג. הניחו כעת כי המכונה נמכרה ב-1.7.2024, בתמורה ל-75,000 ש״ח. מהו רווח / הפסד ההון במכירה?</t>
  </si>
  <si>
    <t xml:space="preserve">של 5 שנים ללא ערך שייר / גרט. </t>
  </si>
  <si>
    <t>רמזים:</t>
  </si>
  <si>
    <t>בשנה הראשונה, הספרה היא 5, והיא ל-3</t>
  </si>
  <si>
    <t>חודשים בלבד (1.10 עד סוף השנה).</t>
  </si>
  <si>
    <t>בשנה השניה, הספרה 5 במשך 9 החודשים הראשונים,</t>
  </si>
  <si>
    <t>ו-4 במהלך 3 החודשים לאחר מכן.</t>
  </si>
  <si>
    <t>בשנה השלישית, הספרה 4 במשך 9 החודשים הראשונים,</t>
  </si>
  <si>
    <t xml:space="preserve">ו-3 במהלך 3 החודשים לאחר מכן. </t>
  </si>
  <si>
    <t>אופן חישוב הפחת הנצבר ערב המכירה:</t>
  </si>
  <si>
    <t>פרק הזמן בין 1.10.2020-1.7.2024</t>
  </si>
  <si>
    <t xml:space="preserve">כולל 3 שנים שלמות ו-9 חודשים </t>
  </si>
  <si>
    <t xml:space="preserve">180,000 - 162,000 = </t>
  </si>
  <si>
    <t>הפרש - רווח הון (כי חיובי)</t>
  </si>
  <si>
    <t>ג. חישוב רווח / הפסד ההון במכירה ב-1.7.2024 תמורת 75,000:</t>
  </si>
  <si>
    <t>אורך חיי הנכס</t>
  </si>
  <si>
    <t>פלוס אחת</t>
  </si>
  <si>
    <t xml:space="preserve">(180,000 - 0) * (5 + 4 + 3 + 2 * 9/12)/15 = </t>
  </si>
  <si>
    <t>חלק ב של המבחן - בנוי כך - סופי:</t>
  </si>
  <si>
    <t>הצגנו הדגמה היום</t>
  </si>
  <si>
    <t>חשבונאות פיננסית &gt;&gt;&gt; מידע פיננסי (כספי) &gt;&gt;&gt; לגבי חברות</t>
  </si>
  <si>
    <t>מיועד למשקיעים (בעלים ומלווים) - כדי להבין ״אם להשקיע״ או לא</t>
  </si>
  <si>
    <t>הכנסות והוצאות</t>
  </si>
  <si>
    <t>בלי קשר למועד קבלת המזומן</t>
  </si>
  <si>
    <t>הוצאות = במועד צריכת שירותים / משאבים</t>
  </si>
  <si>
    <t>הכנסות בניכוי הוצאות = רווח (או הפסד)</t>
  </si>
  <si>
    <t>הדוח הכספי = דוח רווח והפסד</t>
  </si>
  <si>
    <t>המצב הכספי</t>
  </si>
  <si>
    <t>נכסים = רכוש וחוב כלפי החברה</t>
  </si>
  <si>
    <t>התחייבויות = כגון הלוואה</t>
  </si>
  <si>
    <t xml:space="preserve">הון עצמי = </t>
  </si>
  <si>
    <t>נכסים פחות התחייבויות</t>
  </si>
  <si>
    <t>כרגע:</t>
  </si>
  <si>
    <t>השקעת בעלים</t>
  </si>
  <si>
    <t>רווח מצטבר (עודפים)</t>
  </si>
  <si>
    <t>תרגיל כיתה 1  - תרגול ההכרה בהכנסות והוצאות לפי הגדרתן</t>
  </si>
  <si>
    <t>הכנסות = לפי שווי מכר / שווי שירות שניתן</t>
  </si>
  <si>
    <t>תרגיל כיתה 2 - תרגול נוסף של המושג ״הכנסה״</t>
  </si>
  <si>
    <t xml:space="preserve">בתאריך 1.7.2022 שילמה חברה (במזומן) 10,000 ש״ח עבור פוליסת ביטוח לשנה, תקופת הפוליסה: 1.7.2022 - 1.7.2023. </t>
  </si>
  <si>
    <t>אנחנו כבר יודעים</t>
  </si>
  <si>
    <t xml:space="preserve">כיצד מוגדרות </t>
  </si>
  <si>
    <t>אך פרט להן</t>
  </si>
  <si>
    <t>עלינו להכיר:</t>
  </si>
  <si>
    <t>נדגים זאת על פי הדוח</t>
  </si>
  <si>
    <t>שבו מופיעים הפריטים - מאזן</t>
  </si>
  <si>
    <t>ואיזה מידע צריך לשם כך?</t>
  </si>
  <si>
    <t>השווי הכספי של פעילויות ״מה קרה השנה״</t>
  </si>
  <si>
    <t>שווי פעילויות השנה</t>
  </si>
  <si>
    <t>המצב הכספי לנקודת זמן (31.12)</t>
  </si>
  <si>
    <r>
      <rPr>
        <u/>
        <sz val="12"/>
        <color theme="1"/>
        <rFont val="David"/>
        <family val="2"/>
        <charset val="177"/>
      </rPr>
      <t>נכסים</t>
    </r>
    <r>
      <rPr>
        <sz val="12"/>
        <color theme="1"/>
        <rFont val="David"/>
        <family val="2"/>
        <charset val="177"/>
      </rPr>
      <t xml:space="preserve"> </t>
    </r>
    <r>
      <rPr>
        <u/>
        <sz val="12"/>
        <color theme="1"/>
        <rFont val="David"/>
        <family val="2"/>
        <charset val="177"/>
      </rPr>
      <t>והתחייבויות</t>
    </r>
    <r>
      <rPr>
        <sz val="12"/>
        <color theme="1"/>
        <rFont val="David"/>
        <family val="2"/>
        <charset val="177"/>
      </rPr>
      <t xml:space="preserve"> (והון עצמי)</t>
    </r>
  </si>
  <si>
    <t>תרגיל כיתה יובל (3) - תרגול נוסף מורכב יותר של המושג ״הוצאה״ (נחזור אליו בהמשך)</t>
  </si>
  <si>
    <t xml:space="preserve">יובל בע״מ (להלן: ״החברה״) היא חברת הייטק מבית שאן. </t>
  </si>
  <si>
    <t xml:space="preserve">בתאריך 1.1.2022 חתמה החברה על הסכם לצריכת שירותים בתחום חימום הנקניק. </t>
  </si>
  <si>
    <t xml:space="preserve">ההסדר בתוקף עד ה-31.12.2024, ושוויו הכולל (התמורה הכוללת): 108,000 ש״ח. </t>
  </si>
  <si>
    <t>א. בהנחה שהסכום שולם במלואו מיד במועד חתימת ההסכם, מה יהיה סכום ההוצאה בכל שנה?</t>
  </si>
  <si>
    <t>ב. בהנחה שהסכום ישולם במלואו רק במועד סיום ההסכם, מה יהיה סכום ההוצאה בכל שנה?</t>
  </si>
  <si>
    <t>ג. הניחו שהסכום שולם במלואו במועד חתימת ההסכם, וידוע שהחברה צריכה 60% מהשירות בשנת 2022, ואת היתרה</t>
  </si>
  <si>
    <t xml:space="preserve">בשני חלקים שווים בשנתיים הבאות. מה יהיה סכום ההוצאה בכל שנה. </t>
  </si>
  <si>
    <t xml:space="preserve">א. </t>
  </si>
  <si>
    <t>שולם במזומן</t>
  </si>
  <si>
    <t>איך גילינו מה שווי השירות שנצרך בכל שנה?</t>
  </si>
  <si>
    <t xml:space="preserve">ההסדר הוא ל-3 שנים: 2022, 2023, 2024. </t>
  </si>
  <si>
    <t>אם שוויו הכולל 108,000 ברירת מחדל היא לחשב שווי</t>
  </si>
  <si>
    <t>לשנה ע״י חלוקה ב-3:</t>
  </si>
  <si>
    <t>108,000 / 3 = 36,000</t>
  </si>
  <si>
    <t xml:space="preserve">סכום ההוצאה שתוכר בכל שנה - לפי ההגדרה: לפי שווי השירות שנצרך. </t>
  </si>
  <si>
    <t xml:space="preserve">ההוצאה בכל אחת מהשנים תהיה 36,000 ש״ח. </t>
  </si>
  <si>
    <r>
      <t xml:space="preserve">ב. השינוי היחידי בהשוואה לסעיף א הוא מועד התשלום ולא שווי השירות שנצרך בכל שנה. לכן, </t>
    </r>
    <r>
      <rPr>
        <u/>
        <sz val="12"/>
        <rFont val="David"/>
        <family val="2"/>
        <charset val="177"/>
      </rPr>
      <t>סכום ההוצאה בכל שנה זהה לסעיף א.</t>
    </r>
    <r>
      <rPr>
        <sz val="12"/>
        <rFont val="David"/>
        <family val="2"/>
        <charset val="177"/>
      </rPr>
      <t xml:space="preserve"> </t>
    </r>
  </si>
  <si>
    <t>בשאלה זו קיים נתון מפורש לגבי שווי השירות שנצרך בכל שנה</t>
  </si>
  <si>
    <t>לכן לא נוכל לחלק ב-3.</t>
  </si>
  <si>
    <t>נחשב כך:</t>
  </si>
  <si>
    <t xml:space="preserve">108,000 * 60% = </t>
  </si>
  <si>
    <t xml:space="preserve">108,000 * 20% = </t>
  </si>
  <si>
    <t>שווי ההוצאה שתוכר בכל אחת מהשנים:</t>
  </si>
  <si>
    <t xml:space="preserve">ב-2022: 64,800 ש״ח, ב-2023: 21,600 ש״ח, ב-2024: 21,600 ש״ח. </t>
  </si>
  <si>
    <r>
      <rPr>
        <b/>
        <sz val="12"/>
        <color theme="1"/>
        <rFont val="David"/>
        <family val="2"/>
        <charset val="177"/>
      </rPr>
      <t>נכסים</t>
    </r>
    <r>
      <rPr>
        <sz val="12"/>
        <color theme="1"/>
        <rFont val="David"/>
        <family val="2"/>
        <charset val="177"/>
      </rPr>
      <t xml:space="preserve">, </t>
    </r>
    <r>
      <rPr>
        <b/>
        <sz val="12"/>
        <color theme="1"/>
        <rFont val="David"/>
        <family val="2"/>
        <charset val="177"/>
      </rPr>
      <t>התחייבויות</t>
    </r>
    <r>
      <rPr>
        <sz val="12"/>
        <color theme="1"/>
        <rFont val="David"/>
        <family val="2"/>
        <charset val="177"/>
      </rPr>
      <t xml:space="preserve">, </t>
    </r>
    <r>
      <rPr>
        <b/>
        <sz val="12"/>
        <color theme="1"/>
        <rFont val="David"/>
        <family val="2"/>
        <charset val="177"/>
      </rPr>
      <t>הון עצמי</t>
    </r>
  </si>
  <si>
    <t>מבנה כללי מנוון כלומר רק כדי לתת כיוון - של המידע בדבר הנכסים, ההתחייבויות וההון - מאזן</t>
  </si>
  <si>
    <t>הון עצמי:</t>
  </si>
  <si>
    <t xml:space="preserve">מהם המקורות </t>
  </si>
  <si>
    <t>שיצרו נכסים</t>
  </si>
  <si>
    <t>ואינם התחייבויות</t>
  </si>
  <si>
    <t>שאלה 0 - הדגמות נוספות לסוגי נתונים כספיים וסיווג שלהם לנכסים / התחייבויות / הון עצמי / הכנסות / הוצאות</t>
  </si>
  <si>
    <t>עד כה הגדרנו ״בקטנה״ נכסים, התחייבויות, הון עצמי, הכנסות והוצאות.</t>
  </si>
  <si>
    <t xml:space="preserve">בתרגיל הזה המטרה היא לתת דוגמאות רבות נוספות לכל אחד מהפריטים הללו. </t>
  </si>
  <si>
    <t>V</t>
  </si>
  <si>
    <t>מזומן בבנק (עו״ש)</t>
  </si>
  <si>
    <t>הלוואה לשנה</t>
  </si>
  <si>
    <t>הלוואה לשנתיים</t>
  </si>
  <si>
    <t>משיכת יתר (אוברדרפט)</t>
  </si>
  <si>
    <t>פקדון</t>
  </si>
  <si>
    <t>השקעה בניירות ערך</t>
  </si>
  <si>
    <t>קניית ערגליות</t>
  </si>
  <si>
    <t>מבנים וקרקעות</t>
  </si>
  <si>
    <t>מלאי לסוף השנה</t>
  </si>
  <si>
    <t>חייבים שונים</t>
  </si>
  <si>
    <t>רווח שהצטבר (עודפים)</t>
  </si>
  <si>
    <t>הכנסות משירות</t>
  </si>
  <si>
    <t>עמלות סוכני מכירות</t>
  </si>
  <si>
    <t>נקניקיות ל-Happy Hour</t>
  </si>
  <si>
    <t>שכר עבודה - הנהלה</t>
  </si>
  <si>
    <t>שכר עבודה - שיווק</t>
  </si>
  <si>
    <t xml:space="preserve">נלמד על זה עוד בהמשך, אבל נדגים מה ההבדל בין </t>
  </si>
  <si>
    <t>שכר דירה (הוצאות שכר דירה) לשכר דירה לשלם:</t>
  </si>
  <si>
    <t>אנואר בע״מ מעסיקה עובדים בעלות של 4,000 ש״ח לחודש.</t>
  </si>
  <si>
    <t>העובדים הועסקו בכל חודשי השנה, אך שכר דצמבר</t>
  </si>
  <si>
    <t xml:space="preserve">טרם שולם. </t>
  </si>
  <si>
    <t>מהן הוצאות השכר בחברה?</t>
  </si>
  <si>
    <t>לפי היקף השירות (12 חודשים)</t>
  </si>
  <si>
    <t>מהי ההתחייבות בגין שכר שטרם שולם וכיצד תקרא?</t>
  </si>
  <si>
    <t>החלק שטרם שולם - חודש אחד (דצמבר) - הוא זה</t>
  </si>
  <si>
    <t>שעבורו קיימת התחייבות, שתקרא:</t>
  </si>
  <si>
    <t>״שכר לשלם״</t>
  </si>
  <si>
    <t>שכר דירה (*)</t>
  </si>
  <si>
    <t>שכר דירה לשלם (**)</t>
  </si>
  <si>
    <t>(*), (**)</t>
  </si>
  <si>
    <t>שאלה 0.1 - תרגול כיתה לגבי סיווג הכנסות, הוצאות, נכסים, התחייבויות, הון עצמי</t>
  </si>
  <si>
    <t>סווגו כל אחד מהערכים הבאים לטבלה:</t>
  </si>
  <si>
    <t>מידע נוסף:</t>
  </si>
  <si>
    <t>נקניק נוי למשרד</t>
  </si>
  <si>
    <t>מזגנים</t>
  </si>
  <si>
    <t>הוצאות ניקיון</t>
  </si>
  <si>
    <t>הוצאות ניקיון לשלם</t>
  </si>
  <si>
    <t>אחזקת רכב</t>
  </si>
  <si>
    <t>למשל - יובל רכש זכיון לפיצה שמש בעלות 30,000 ש״ח.</t>
  </si>
  <si>
    <t>ספקים - משה ואבנר</t>
  </si>
  <si>
    <t>ספקים שונים</t>
  </si>
  <si>
    <t>ולכן המחויבות כלפיהם נרשמת בחשבון נפרד.</t>
  </si>
  <si>
    <t>צ׳קים לקבל</t>
  </si>
  <si>
    <r>
      <rPr>
        <b/>
        <sz val="12"/>
        <color theme="1"/>
        <rFont val="David"/>
        <family val="2"/>
        <charset val="177"/>
      </rPr>
      <t>הנקניק</t>
    </r>
    <r>
      <rPr>
        <sz val="12"/>
        <color theme="1"/>
        <rFont val="David"/>
        <family val="2"/>
        <charset val="177"/>
      </rPr>
      <t xml:space="preserve"> עלה 50,000 ש״ח והוא הותקן לצרכי נוי במשרד המנכ״ל. </t>
    </r>
  </si>
  <si>
    <r>
      <rPr>
        <b/>
        <sz val="12"/>
        <color theme="1"/>
        <rFont val="David"/>
        <family val="2"/>
        <charset val="177"/>
      </rPr>
      <t>זכיון</t>
    </r>
    <r>
      <rPr>
        <sz val="12"/>
        <color theme="1"/>
        <rFont val="David"/>
        <family val="2"/>
        <charset val="177"/>
      </rPr>
      <t xml:space="preserve"> - זכות להשתמש בשם מסחרי וקשרים מסחריים של חברה.</t>
    </r>
  </si>
  <si>
    <r>
      <rPr>
        <b/>
        <sz val="12"/>
        <color theme="1"/>
        <rFont val="David"/>
        <family val="2"/>
        <charset val="177"/>
      </rPr>
      <t>צ׳קים לקבל</t>
    </r>
    <r>
      <rPr>
        <sz val="12"/>
        <color theme="1"/>
        <rFont val="David"/>
        <family val="2"/>
        <charset val="177"/>
      </rPr>
      <t xml:space="preserve"> = צ׳קים (המחאות) דחויים שקיבלה חברה, </t>
    </r>
  </si>
  <si>
    <r>
      <t xml:space="preserve">לחברה </t>
    </r>
    <r>
      <rPr>
        <b/>
        <sz val="12"/>
        <color theme="1"/>
        <rFont val="David"/>
        <family val="2"/>
        <charset val="177"/>
      </rPr>
      <t>ספקים</t>
    </r>
    <r>
      <rPr>
        <sz val="12"/>
        <color theme="1"/>
        <rFont val="David"/>
        <family val="2"/>
        <charset val="177"/>
      </rPr>
      <t xml:space="preserve"> רבים. </t>
    </r>
    <r>
      <rPr>
        <b/>
        <sz val="12"/>
        <color theme="1"/>
        <rFont val="David"/>
        <family val="2"/>
        <charset val="177"/>
      </rPr>
      <t>משה ואבנר</t>
    </r>
    <r>
      <rPr>
        <sz val="12"/>
        <color theme="1"/>
        <rFont val="David"/>
        <family val="2"/>
        <charset val="177"/>
      </rPr>
      <t xml:space="preserve"> הם הספקים הגדולים ביותר,</t>
    </r>
  </si>
  <si>
    <r>
      <t>המחויבות ליתר הספקים (הקטנים) נרשמת כ״</t>
    </r>
    <r>
      <rPr>
        <b/>
        <sz val="12"/>
        <color theme="1"/>
        <rFont val="David"/>
        <family val="2"/>
        <charset val="177"/>
      </rPr>
      <t>ספקים שונים</t>
    </r>
    <r>
      <rPr>
        <sz val="12"/>
        <color theme="1"/>
        <rFont val="David"/>
        <family val="2"/>
        <charset val="177"/>
      </rPr>
      <t xml:space="preserve">״. </t>
    </r>
  </si>
  <si>
    <t>צ׳קים לפירעון</t>
  </si>
  <si>
    <t xml:space="preserve">ומועד פרעונם טרם הגיע. </t>
  </si>
  <si>
    <r>
      <rPr>
        <b/>
        <sz val="12"/>
        <color theme="1"/>
        <rFont val="David"/>
        <family val="2"/>
        <charset val="177"/>
      </rPr>
      <t>צ׳קים לפירעון</t>
    </r>
    <r>
      <rPr>
        <sz val="12"/>
        <color theme="1"/>
        <rFont val="David"/>
        <family val="2"/>
        <charset val="177"/>
      </rPr>
      <t xml:space="preserve"> = צ׳קים (המחאות) דחויות שחברה נתנה,</t>
    </r>
  </si>
  <si>
    <t>רווח ממכירת מזגן</t>
  </si>
  <si>
    <t>הוצאות כיבודים</t>
  </si>
  <si>
    <t>מס הכנסה לשלם</t>
  </si>
  <si>
    <t>הסברים נוספים לפתרון:</t>
  </si>
  <si>
    <t xml:space="preserve">נקניק הנוי הוא נכס - כמו כל פריט אומנות או השקעה גם אם </t>
  </si>
  <si>
    <t>היא רק לצרכי נוי.</t>
  </si>
  <si>
    <t>חייבים שונים = חוב כלפי החברה הוא נכס. חייבים שונים מייצגים</t>
  </si>
  <si>
    <t>חוב כזה, כגון חוב של רשות המסים כלפיי, חוב של עובדים כלפיי...</t>
  </si>
  <si>
    <t>הוצאות ניקיון לשלם = בשונה מהוצאות ניקיון (שזו הוצאה)</t>
  </si>
  <si>
    <t xml:space="preserve">כלומר הסכום שטרם הועבר לחברת הניקיון. </t>
  </si>
  <si>
    <r>
      <rPr>
        <b/>
        <sz val="12"/>
        <color theme="1"/>
        <rFont val="David"/>
        <family val="2"/>
        <charset val="177"/>
      </rPr>
      <t>הוצאות ניקיון לשלם</t>
    </r>
    <r>
      <rPr>
        <sz val="12"/>
        <color theme="1"/>
        <rFont val="David"/>
        <family val="2"/>
        <charset val="177"/>
      </rPr>
      <t xml:space="preserve"> (דגש על המילה לשלם) היא ההתחייבות</t>
    </r>
  </si>
  <si>
    <t>אחזקת רכב (ובכלל אחזקה) = מתייחסת להוצאות אחזקה (תיקונים,</t>
  </si>
  <si>
    <t xml:space="preserve">טיפולים שוטפים וכן הלאה). </t>
  </si>
  <si>
    <t>זכיונות - השקעה בזיכיון משמעה רכישת נכס של זכות שימוש</t>
  </si>
  <si>
    <t xml:space="preserve">במותג של חברה (כגון פיצה שמש, ארומה, מקדונלדס). זהו נכס. </t>
  </si>
  <si>
    <t xml:space="preserve">ואשר מועד פרעונם טרם הגיע (כסף שמגיע לי - נכס שלי). </t>
  </si>
  <si>
    <t>הוצאות מסים על ההכנסה</t>
  </si>
  <si>
    <t>מבוא לחשבונאות פיננסית - שיעור מס׳ 2 - התעמקות בעלות המכר</t>
  </si>
  <si>
    <t>ועריכת הדוחות הכספיים בכללותם</t>
  </si>
  <si>
    <t>נושא ראשון - הבנת המשמעות והרכיבים של הוצאה שנקראת ״עלות המכר״ / ״עלות המכירות״</t>
  </si>
  <si>
    <t xml:space="preserve">סעיף ״הכנסות ממכירות״ או ״מכירות״ בדוח רווח והפסד משקף את סך שווי המכירות שביצעה </t>
  </si>
  <si>
    <t xml:space="preserve">החברה, ואשר מתייחסות למוצרים העיקריים שהיא מוכרת בשוטף. </t>
  </si>
  <si>
    <t>הסעיף מורכב מ-3 חלקים (ערכים ספציפיים / חשבונות):</t>
  </si>
  <si>
    <r>
      <t xml:space="preserve">הנחות </t>
    </r>
    <r>
      <rPr>
        <u/>
        <sz val="12"/>
        <color theme="1"/>
        <rFont val="David"/>
        <family val="2"/>
        <charset val="177"/>
      </rPr>
      <t>מסחריות</t>
    </r>
    <r>
      <rPr>
        <sz val="12"/>
        <color theme="1"/>
        <rFont val="David"/>
        <family val="2"/>
        <charset val="177"/>
      </rPr>
      <t xml:space="preserve"> ללקוחות</t>
    </r>
  </si>
  <si>
    <t xml:space="preserve">עלות המכירות: עלות המכירות משקפת את ההוצאה שהיא עלות המוצרים שנמכרו במהלך התקופה. </t>
  </si>
  <si>
    <t xml:space="preserve">את עלות המכירות אפשר לחשב בשתי שיטות: </t>
  </si>
  <si>
    <t xml:space="preserve">במקום לרשום בכל רגע נתון עלות של כל מוצר שנמכר - </t>
  </si>
  <si>
    <t>רושמים את כל הקניות (קניות המלאי שהחברה מבצעת),</t>
  </si>
  <si>
    <t xml:space="preserve">ובאמצעות שימוש בנתון זה ונתון ספירת המלאי בתום השנה - </t>
  </si>
  <si>
    <t xml:space="preserve">מחלצים את עלות המכירות. </t>
  </si>
  <si>
    <t>מלאי הפתיחה - מלאי לתחילת שנה (לסוף שנה קודמת)</t>
  </si>
  <si>
    <r>
      <t>קניות נטו</t>
    </r>
    <r>
      <rPr>
        <sz val="9"/>
        <color theme="1"/>
        <rFont val="David"/>
        <family val="2"/>
        <charset val="177"/>
      </rPr>
      <t xml:space="preserve"> (קניות והובלתן למחסן בניכוי החזרות לספקים בניכוי הנחות מסחריות מספקים)</t>
    </r>
  </si>
  <si>
    <t>מלאי הסגירה - מלאי לתום שנה (לסוף השנה הנוכחית)</t>
  </si>
  <si>
    <t>תרגילון קטנטון שמתמקד בחלק של המכירות ועלות המכירות - שהוא חלק מרכזי בדוחות שנציג בהמשך</t>
  </si>
  <si>
    <t>לפניכן נתונים בדבר יתרות של חשבונות שונים בחברת חוסני בע״מ העוסקת במכירת נקניק:</t>
  </si>
  <si>
    <t>רווח הון ממכירת מבנה ההנהלה</t>
  </si>
  <si>
    <t xml:space="preserve">החזרות מלקוחות </t>
  </si>
  <si>
    <t>הוצאות הובלת סחורה ללקוחות</t>
  </si>
  <si>
    <t>הוצאות הובלה קניות למחסן</t>
  </si>
  <si>
    <t xml:space="preserve">נדרש: חשבו את המכירות ואת עלות המכירות, ואת ההפרש ביניהם (רווח גולמי) על בסיס נתוני השאלה. </t>
  </si>
  <si>
    <t>הדרכה: ייתכן בהחלט שישנם נתונים מיותרים ברשימה.</t>
  </si>
  <si>
    <t>מכירות (נטו):</t>
  </si>
  <si>
    <t xml:space="preserve">מכירות ברוטו בניכוי החזרות מלקוחות והנחות מסחריות ללקוחות </t>
  </si>
  <si>
    <t xml:space="preserve">קניות נטו </t>
  </si>
  <si>
    <t>הגדרת קניות נטו:</t>
  </si>
  <si>
    <t>מכירות (מכירות נטו)</t>
  </si>
  <si>
    <t>מכירות, נטו (סיכום)</t>
  </si>
  <si>
    <t>מלאי פתיחה (לתחילת שנה)</t>
  </si>
  <si>
    <t>מלאי סגירה (לתום השנה)</t>
  </si>
  <si>
    <t>עלות המכירות (סיכום)</t>
  </si>
  <si>
    <t>קניות, נטו (סיכום)</t>
  </si>
  <si>
    <t>כעת, לאחר שחישבנו את המכירות ואת עלות המכירות, הרווח הגולמי (ההפרש בין המכירות לעלות המוצרים שנמכרו) הוא:</t>
  </si>
  <si>
    <t>מכירות (נטו)</t>
  </si>
  <si>
    <t>(קניות ברוטו, בתוספת הובלה למחסן, בניכוי הנחות מסחריות מספקים והחזרות לספקים)</t>
  </si>
  <si>
    <t>לא רלוונטי למכירות / עלות המכירות = לא פעילות עיקרית</t>
  </si>
  <si>
    <t>חלק מהוצאות השיווק וההפצה (קטגוריה נפרדת)</t>
  </si>
  <si>
    <t>חלק מהוצאות המימון והריבית (קטגוריה נפרדת)</t>
  </si>
  <si>
    <t>חלק מהכנסות המימון והריבית (קטגוריה נפרדת)</t>
  </si>
  <si>
    <t>אז מה בעצם היה לנו? אנחנו רוצים לערוך דוחות כספיים;</t>
  </si>
  <si>
    <t xml:space="preserve">הדוחות כוללים את דוח רווח והפסד, שהמכירות ועלות המכירות הם אחד הסעיפים המורכבים הכלולים בו. </t>
  </si>
  <si>
    <t>לכן, תקפנו והגדרנו תחילה סעיפים אלו, ועכשיו, כשאנחנו קצת יותר רגועים עליהם, נבנה את הדוחות בכללותם.</t>
  </si>
  <si>
    <t>צ׳קים (המחאות) לקבל</t>
  </si>
  <si>
    <t>צ׳קים (המחאות) לפירעון</t>
  </si>
  <si>
    <t>קופה (מזומן בקופה)</t>
  </si>
  <si>
    <t>עו״ש בנק - בנק הפועלים</t>
  </si>
  <si>
    <t>משיכת יתר - בנק לאומי</t>
  </si>
  <si>
    <t>הוצאות שכר - מכירה ושיווק</t>
  </si>
  <si>
    <t>פחת נצבר מחשבים</t>
  </si>
  <si>
    <t>מכונות חימום נקניק חדר אוכל</t>
  </si>
  <si>
    <t>פחת נצבר מכונות נקניק</t>
  </si>
  <si>
    <t>מלאי 1.1</t>
  </si>
  <si>
    <t>הוצאות טלפון נייד</t>
  </si>
  <si>
    <t>הוצאות רכב מחלקת שיווק</t>
  </si>
  <si>
    <t>הנחות מזומן ללקוחות (שניתנו)</t>
  </si>
  <si>
    <t>הנחות מזומן מספקים (שהתקבלו)</t>
  </si>
  <si>
    <t>מלאי 31.12 - מאזן (נכס)</t>
  </si>
  <si>
    <t>מלאי 31.12 - רווח והפסד (עלות המכר)</t>
  </si>
  <si>
    <t>פיקדון בבנק לזמן קצר</t>
  </si>
  <si>
    <t>פיקדון בבנק לזמן ארוך</t>
  </si>
  <si>
    <t>תיק ניירות ערך בבנק לזמן קצר</t>
  </si>
  <si>
    <t>פרמיה</t>
  </si>
  <si>
    <t>קרנות הון</t>
  </si>
  <si>
    <t>לפניכם יתרות של מספר כרטיסי חשבון - מיינו אותם וערכו דוחות כספיים על בסיסם:</t>
  </si>
  <si>
    <t>שאלה מרכזית - דורון סונסינו - סיווג ערכים ועל בסיסם עריכה מלאה של הדוחות הכספיים</t>
  </si>
  <si>
    <t>סוג הכנסה / הוצאה</t>
  </si>
  <si>
    <t>הנחות מסחריות ללקוחות (שניתנו)</t>
  </si>
  <si>
    <t>130+x</t>
  </si>
  <si>
    <t>ידוע כי:</t>
  </si>
  <si>
    <t xml:space="preserve">הון </t>
  </si>
  <si>
    <t>הון 31.12</t>
  </si>
  <si>
    <t>מפתרון המשוואה ״הירוקה״ נוכל לחלץ את X שמייצג את העודפים ל-1.1:</t>
  </si>
  <si>
    <t>בתכלס במבחן - אם ערך מסויים 0 - אל תכללו את השורה שלו</t>
  </si>
  <si>
    <t>רווח גולמי בניכוי הוצאות מכירה ושיווק, הנהלה וכלליות, הוצאות אחרות - ובתוספת הכנסות אחרות</t>
  </si>
  <si>
    <t>רווח לפני מסים בניכוי מסים על ההכנסה</t>
  </si>
  <si>
    <r>
      <t xml:space="preserve">כעת ניתן לערוך את צמד הדוחות הכספיים - </t>
    </r>
    <r>
      <rPr>
        <b/>
        <u/>
        <sz val="12"/>
        <color theme="1"/>
        <rFont val="David"/>
        <family val="2"/>
        <charset val="177"/>
      </rPr>
      <t>דוח רווח והפסד</t>
    </r>
    <r>
      <rPr>
        <b/>
        <sz val="12"/>
        <color theme="1"/>
        <rFont val="David"/>
        <family val="2"/>
        <charset val="177"/>
      </rPr>
      <t xml:space="preserve"> וכן את הדוח על המצב הכספי (מאזן). </t>
    </r>
  </si>
  <si>
    <t>שאלה 2 - לתרגול עצמי עם פתרון מלא - חברת ״פינוקיו המשודרג״ - סיווג יתרות ועריכת דוחות כספיים בחברה מסחרית</t>
  </si>
  <si>
    <t>בוצע בשיעור</t>
  </si>
  <si>
    <r>
      <t xml:space="preserve">ולהלן הדוח על המצב הכספי (המאזן) ליום 31.12 </t>
    </r>
    <r>
      <rPr>
        <b/>
        <sz val="12"/>
        <color rgb="FFFF0000"/>
        <rFont val="David"/>
        <family val="2"/>
        <charset val="177"/>
      </rPr>
      <t>(למידה עצמית)</t>
    </r>
  </si>
  <si>
    <t xml:space="preserve">הדוח על המצב הכספי כולל, בדומה למשוואה שהוצגה - נכסים מצד אחד, התחייבויות והון עצמי מצד שני. </t>
  </si>
  <si>
    <t>התחייבויות והון</t>
  </si>
  <si>
    <t>נכסים שוטפים - נכסים שפרק הזמן הצפוי לשימוש בהם / למיצוים הוא עד שנה.</t>
  </si>
  <si>
    <t>מזומן - כולל קופה וכן עו״ש בנק</t>
  </si>
  <si>
    <t>לקוחות - בדוח הסופי כוללים צ׳קים לקבל ולקוחות - שניהם מייצגים ערכים דומים ומאוחדים לשם הדיווח</t>
  </si>
  <si>
    <t>השקעות לזמן קצר - כולל פקדונות בבנק לזמן קצר ותיק ניירות ערך המוחזק לזמן קצר</t>
  </si>
  <si>
    <t>מלאי - המלאי הנכלל בדוח על המצב הכספי לתום השנה תמיד יהיה מעודכן לתום השנה (מלאי סגירה / ל-31.12 בלבד)</t>
  </si>
  <si>
    <t>נכסים לא שוטפים - נכסים שפרק הזמן הצפוי לשימוש בהם / למיצוי הערך הנובע מהם עולה על שנה.</t>
  </si>
  <si>
    <t>רכוש קבוע - מכונות, ציוד, כלי רכב, מבנים וכו׳ - בניכוי הפחת הנצבר עליהם</t>
  </si>
  <si>
    <t>השקעות לזמן ארוך - פקדונות לזמן ארוך, ניירות ערך המוחזקים לזמן ארוך</t>
  </si>
  <si>
    <t>נכסים בלתי מוחשיים - פטנטים, זכיונות, מותגים, סימנים מסחריים, זכויות יוצרים, קניין רוחני וכיוצא בזה</t>
  </si>
  <si>
    <t>אשראי לזמן קצר</t>
  </si>
  <si>
    <t>התחייבויות שוטפות - התחייבויות שפרק הזמן עד פרעונן הוא עד שנה</t>
  </si>
  <si>
    <t>אשראי לזמן קצר - הלוואות לזמן קצר ומשיכת יתר (אוברדראפט)</t>
  </si>
  <si>
    <t>ספקים - בדוח על המצב הכספי נאחד את הספקים עם הצ׳קים לפירעון (משמעות דומה)</t>
  </si>
  <si>
    <t>אשראי לזמן ארוך</t>
  </si>
  <si>
    <t>אשראי לזמן ארוך - לעתים נקרא גם הלוואות לזמן ארוך</t>
  </si>
  <si>
    <t>סך ההתחייבויות - סיכום ההתחייבויות השוטפות והלא שוטפות (לא תמיד נחייב בהצגת סיכום זה)</t>
  </si>
  <si>
    <t>התחייבויות לא שוטפות - התחייבויות שפרק הזמן עד פרעונן מעל שנה</t>
  </si>
  <si>
    <t xml:space="preserve">עודפים - העודפים בדוח על המצב הכספי הם תמיד העודפים לסוף השנה, ל-31.12. </t>
  </si>
  <si>
    <t>הם חושבו על ידי העודפים (רווח צבור) ל-1.1 שחילנו לעיל, בסך 1,843 (סומן כ-x) בתוספת הרווח הנקי השנה.</t>
  </si>
  <si>
    <t xml:space="preserve">סך ההתחייבויות וההון - מעבר להיותן סיכום של ההתחייבויות וההון, חייבות להיות זהות לסך הנכסים. </t>
  </si>
  <si>
    <t>להלן תרגיל נוסף עם פתרון מפורט לביצוע עצמי בלבד (לא נעבור עליו)</t>
  </si>
  <si>
    <t>מפגש מס׳ 3 - רישום חשבונאי בסיסי - פקודות יומן</t>
  </si>
  <si>
    <t>מטרת המפגש:</t>
  </si>
  <si>
    <t>עד כה רק הצגנו הגדרות: אמרנו שלקוחות הם חוב כלפי החברה, ולא ציינו כיצד נוצרו;</t>
  </si>
  <si>
    <t>הסברנו שנכסים הם משאבים; ולא הגדרנו את תהליך יצירתם.</t>
  </si>
  <si>
    <t xml:space="preserve">ולכן - כדי להשלים את הידע - נעסוק היום באופן הרישום והתיעוד המלא של עסקאות ואירועים כלכליים. </t>
  </si>
  <si>
    <t xml:space="preserve">לא רק הגדרה - אלא מהן מכלול ההשפעות של עסקה - על נכסים / התחייבויות / הון עצמי / הכנסות / הוצאות. </t>
  </si>
  <si>
    <t>טיפ:</t>
  </si>
  <si>
    <t xml:space="preserve">הכנסות מגדילות הון עצמי. </t>
  </si>
  <si>
    <t>לכן הכנסות: בזכות</t>
  </si>
  <si>
    <t>הוצאות מקטינות הון עצמי.</t>
  </si>
  <si>
    <t>לכן הוצאות: חובה</t>
  </si>
  <si>
    <t>ריבית לשלם = התחייבות</t>
  </si>
  <si>
    <t>לגבי הוצאות: יותר הוצאות = ההון העצמי נפגע</t>
  </si>
  <si>
    <t>ירידה בהון העצמי = חובה</t>
  </si>
  <si>
    <t>עסקה ד:</t>
  </si>
  <si>
    <t>הענקנו שירות ללקוח ב-40,000; 30,000 קיבלנו במזומן, היתרה תתקבל שנה הבאה</t>
  </si>
  <si>
    <t>העסקה הגולמית:</t>
  </si>
  <si>
    <t>החברה הפקידה בפקדון 15,000</t>
  </si>
  <si>
    <t>כאשר חברה מכריזה על דיבידנד - מתכוונת לחלק חלק מהרווח - ירידה בעודפים (חלק מההון העצמי) נרשמת בחובה</t>
  </si>
  <si>
    <t>והואיל והסכום טרם שולם בפועל - קיימת התחייבות בגינו - עלייה בהתחייבות (דיבידנד לשלם) נרשמת בזכות</t>
  </si>
  <si>
    <r>
      <t xml:space="preserve">הדרך שבה מקובל לתאר את מכלול ההשפעות של עסקה - </t>
    </r>
    <r>
      <rPr>
        <b/>
        <sz val="12"/>
        <color theme="1"/>
        <rFont val="David"/>
        <family val="2"/>
        <charset val="177"/>
      </rPr>
      <t>פקודות יומן</t>
    </r>
    <r>
      <rPr>
        <sz val="12"/>
        <color theme="1"/>
        <rFont val="David"/>
        <family val="2"/>
        <charset val="177"/>
      </rPr>
      <t xml:space="preserve">. </t>
    </r>
  </si>
  <si>
    <t>כשעוסקים בפקודות יומן - תיעוד מלא של השפעות עסקה - מקבלים תיאור מילולי מפורט שלה ולא טבלה גולמית.</t>
  </si>
  <si>
    <r>
      <rPr>
        <b/>
        <sz val="12"/>
        <rFont val="David"/>
        <family val="2"/>
        <charset val="177"/>
      </rPr>
      <t>א.</t>
    </r>
    <r>
      <rPr>
        <sz val="12"/>
        <rFont val="David"/>
        <family val="2"/>
        <charset val="177"/>
      </rPr>
      <t xml:space="preserve"> חובה מזומן 60,000</t>
    </r>
  </si>
  <si>
    <r>
      <rPr>
        <b/>
        <sz val="12"/>
        <rFont val="David"/>
        <family val="2"/>
        <charset val="177"/>
      </rPr>
      <t xml:space="preserve">ב. </t>
    </r>
    <r>
      <rPr>
        <sz val="12"/>
        <rFont val="David"/>
        <family val="2"/>
        <charset val="177"/>
      </rPr>
      <t>חובה מזומן 50,000</t>
    </r>
  </si>
  <si>
    <t>תרגול כיתה - תיעוד עסקאות ורישום פקודות יומן בגינן</t>
  </si>
  <si>
    <t>לפניכם נתונים בדבר עסקאות ואירועים בחברת ״ביאן״ בע״מ.</t>
  </si>
  <si>
    <t>החברה הוקמה ב-1.1.2008 - כל העסקאות והנתונים המתוארים הם לשנת 2008:</t>
  </si>
  <si>
    <t xml:space="preserve">א. החברה הנפיקה 40,000 מניות בנות 3 ש״ח ערך נקוב כל אחת בתמורה ל-120,000 ש״ח. </t>
  </si>
  <si>
    <t xml:space="preserve">ב. החברה העניקה שירותים ללקוחות בסכום של 200,000 ש״ח. מחצית התקבלה במזומן, רבע בצ׳ק דחוי, </t>
  </si>
  <si>
    <t xml:space="preserve">היתרה תתקבל בשנה הבאה. </t>
  </si>
  <si>
    <t xml:space="preserve">ג. החברה נטלה הלוואה בסכום של 150,000 ש״ח שתפרע בעוד 3 שנים. </t>
  </si>
  <si>
    <t xml:space="preserve">ד. תשלום הריבית התקופתית בגין ההלוואה מסעיף ג - בוצע, בסכום של 19,000 ש״ח. </t>
  </si>
  <si>
    <t xml:space="preserve">ה. החברה צרכה שירותי עבודה בשווי 35,000 ש״ח, מתוכם שילמה עד לתום השנה 20,000 ש״ח בלבד. </t>
  </si>
  <si>
    <t>כלומר: משכורות בסכום של 15,000 ש״ח טרם שולמו לעובדים.</t>
  </si>
  <si>
    <t xml:space="preserve">נדרש: רשמו פקודות יומן בגין עסקאות אלו. </t>
  </si>
  <si>
    <t>הדרכה: התחילו מתיעוד העסקות בטבלה:</t>
  </si>
  <si>
    <t>לאחר מכן, השתמשו בהגדרה להלן כדי להמיר את התיעוד הטבלה לפקודות יומן:</t>
  </si>
  <si>
    <t>עלייה</t>
  </si>
  <si>
    <t>ירידה</t>
  </si>
  <si>
    <t>לקבוצת 9:15 - לפתור בבית לכיף שלכם לחזק</t>
  </si>
  <si>
    <t>עסקה</t>
  </si>
  <si>
    <t>באופן כללי - תיעוד עסקאות אומר - מה משתנה בנכסים, בהתחייבויות וגם בהון העצמי כתוצאה מכל עסקה.</t>
  </si>
  <si>
    <t>אני בונה טבלה שתכלול את תיאור העסקה, ועמודות נפרדות לנכסים, התחייבויות והון.</t>
  </si>
  <si>
    <t>א. הנפקת מניות</t>
  </si>
  <si>
    <t>א. התקבל מזומן בסך 120,000 ש״ח - זהו כנס. בנוסף, כשאשאל את עצמי מה מקור המזומן? מה יצר אותו? התשובה - השקעת בעלים</t>
  </si>
  <si>
    <t>והשקעת בעלים היא הון עצמי (לא התחייבות). רושמים את השקעת הבעלים תחת ההון העצמי - בשם הון מניות.</t>
  </si>
  <si>
    <t>ב. מתן שירות</t>
  </si>
  <si>
    <t>ב. כאשר חברה מעניקה שירות בשווי 200,000 ש״ח - עליה לרשום הכנסות בסכום 200,000 (כי הכנסה היא שווי השירות שסופק ולא</t>
  </si>
  <si>
    <t>סכום המזומן שהתקבל). ההכנסות נרשמות בקטגוריות של ההון העצמי בסימן חיובי.</t>
  </si>
  <si>
    <t xml:space="preserve">המזומן גדל ב-100,000 ש״ח, כי זה התקבול (הכסף שהתקבל), זה אומר שאת 100,000 הש״ח הנוספים ״חייבים לנו״. </t>
  </si>
  <si>
    <t xml:space="preserve">גם כשחייבים לנו זה נכס. והוא יתחלק במקרה זה לשני חלקים: צ׳ק דחוי שקיבלתי - 50,000 הוא נכס שנקרא ״צ׳קים לקבל״. </t>
  </si>
  <si>
    <t>החוב הנוסף כלפינו - ה-50,000 הנותרים - נכס לקוחות.</t>
  </si>
  <si>
    <t>ג. נטילת הלוואה</t>
  </si>
  <si>
    <t>הלוואה</t>
  </si>
  <si>
    <t xml:space="preserve">ג. כאשר חברה נוטלת (לוקחת) הלוואה, אלא אם נאמר אחרת - הכסף נכנס לעו״ש (למזומן) ולכן המזומן גדל ב-150,000. </t>
  </si>
  <si>
    <t xml:space="preserve">מה המקור לעלייה במזומן? התשובה: לקחנו הלוואה. לכן יש להכיר במקור שהוא התחייבות בגין הלוואה בסכום זהה - 150,000. </t>
  </si>
  <si>
    <t>ד. תשלום ריבית</t>
  </si>
  <si>
    <t>ד. ריבית בגין הלוואות (שהחברה לקחה) היא הוצאה, שנרשמת במינוס באיזור של ההון העצמי. בנוסף, הואיל וההוצאה שולמה במזומן,</t>
  </si>
  <si>
    <t xml:space="preserve">המזומן (שהוא נכס) קטן באותו סכום. </t>
  </si>
  <si>
    <t>ה. צריכת שירותי עבודה</t>
  </si>
  <si>
    <t>שכר לשלם</t>
  </si>
  <si>
    <t>ה. צריכת שירותי עבודה - כל שווי השירות שנצרך הוא הוצאה (בצד של ההון העצמי בסימן שלילי), החלק ששולם במזומן - 20,000 מקטין</t>
  </si>
  <si>
    <t xml:space="preserve">את נכס המזומן, והחלק שטרם שולם יוצר התחייבות (שכר לשלם). </t>
  </si>
  <si>
    <t>ברמת פקודות היומן:</t>
  </si>
  <si>
    <t>א. הנפקת מניות:</t>
  </si>
  <si>
    <t>חובה מזומן 120,000</t>
  </si>
  <si>
    <t>זכות הון מניות 120,000</t>
  </si>
  <si>
    <t>ב. מתן שירות:</t>
  </si>
  <si>
    <t>חובה מזומן 100,000</t>
  </si>
  <si>
    <t>חובה לקוחות 50,000</t>
  </si>
  <si>
    <t>חובה צ׳קים לקבל 50,000</t>
  </si>
  <si>
    <t>זכות הכנסות (משירות) 200,000</t>
  </si>
  <si>
    <t>ג. נטילת הלוואה:</t>
  </si>
  <si>
    <t>חובה מזומן 150,000</t>
  </si>
  <si>
    <t>זכות הלוואה 150,000</t>
  </si>
  <si>
    <t>ד. תשלום ריבית:</t>
  </si>
  <si>
    <t>זכות מזומן 19,000</t>
  </si>
  <si>
    <t>חובה הוצאות ריבית 19,000</t>
  </si>
  <si>
    <t>ה. הוצאות שכר:</t>
  </si>
  <si>
    <t>זכות שכר לשלם 15,000</t>
  </si>
  <si>
    <t>חובה הוצאות שכר 35,000</t>
  </si>
  <si>
    <t>רישום לפי תשלום</t>
  </si>
  <si>
    <t>לדיווח הכנסה/הוצ׳: לפי שווי השירות</t>
  </si>
  <si>
    <t>חישוב הפרש מצטבר בין הערכים</t>
  </si>
  <si>
    <t>תיעוד ההפרש / השינוי</t>
  </si>
  <si>
    <t>חייב לי 100</t>
  </si>
  <si>
    <t>התחייבות ללקוח 120</t>
  </si>
  <si>
    <t>התחייבות ללקוח 50</t>
  </si>
  <si>
    <t>זהות בין הכנסה בהנה״ח
לשווי שירות = אין צורך 
ברישום פעולת התאמה</t>
  </si>
  <si>
    <t>הכנסות לקבל 100 (נכס)</t>
  </si>
  <si>
    <t>הכנסות מראש 120 (התחייבות)</t>
  </si>
  <si>
    <t>הכנסות מראש 50 (התחייבות)</t>
  </si>
  <si>
    <t>אין הכנסה מראש
אין הכנסה לקבל</t>
  </si>
  <si>
    <t>חובה הכנסות לקבל 100
זכות הכנסות משירות 100</t>
  </si>
  <si>
    <t>שאלה 1.2 - תרגול נוסף של הכנסות, הוצאות ופעולות התאמה</t>
  </si>
  <si>
    <t>חברת דרור נוהגת להתקשר בהסכמים ארוכי טווח למתן שירות ללקוחותיה .</t>
  </si>
  <si>
    <t>לפניכם נתונים בדבר היקפי המזומן שהתקבלו אל מול היקף השירותים שסופקו בשנים שונות:</t>
  </si>
  <si>
    <t>תקבול במזומן</t>
  </si>
  <si>
    <t>שווי שירות שסופק</t>
  </si>
  <si>
    <t xml:space="preserve">א. מהי פקודת היומן שתרשם בכל שנה מנקודת ראות הנהלת החשבונות (על בסיס מזומן). </t>
  </si>
  <si>
    <t>ב. מהו סכום ההכנסה שתרשום החברה בדוח רווח והפסד השנתי למשקיעים .</t>
  </si>
  <si>
    <t xml:space="preserve">ג. מהי פקודת ההתאמה (פקודת החתך) שתירשם בכל אחת מהשנים. </t>
  </si>
  <si>
    <t xml:space="preserve">ד. מהי יתרת חשבון החתך (הכנסות מראש / הכנסות לקבל) ובאיזה סכום, לתום כל שנה. </t>
  </si>
  <si>
    <t>לשם נוחות, אעתיק את הנתונים הבסיסיים תחילה:</t>
  </si>
  <si>
    <t xml:space="preserve">פקודת </t>
  </si>
  <si>
    <t>התאמה</t>
  </si>
  <si>
    <t>מראש / לקבל</t>
  </si>
  <si>
    <t>ח׳ מזומן 100
ז׳ הכנסות 100</t>
  </si>
  <si>
    <t>ח׳ מזומן 200
ז׳ הכנסות 200</t>
  </si>
  <si>
    <t>ח׳ מזומן 500
ז׳ הכנסות 500</t>
  </si>
  <si>
    <t>ח׳ מזומן 0
ז׳ הכנסות 0</t>
  </si>
  <si>
    <t>הכנסות לקבל 20</t>
  </si>
  <si>
    <t>הכנסות לקבל 70</t>
  </si>
  <si>
    <t>הכנסות מראש 100</t>
  </si>
  <si>
    <t>הכנסות מראש 135</t>
  </si>
  <si>
    <t>ח׳ הכנסות לקבל 50
ז׳ הכנסות 50</t>
  </si>
  <si>
    <t>ז׳ הכנסות לקבל 70
ז׳ הכנסות מראש 100
ח׳ הכנסות 170</t>
  </si>
  <si>
    <t>ז׳ הכנסות מראש 35
ח׳ הכנסות 35</t>
  </si>
  <si>
    <t>ח׳ הכנסות מראש 135
ז׳ הכנסות 135</t>
  </si>
  <si>
    <t>נקראת גם ״פקודת חתך״</t>
  </si>
  <si>
    <t>יתרת התחשבנות - מי חייב למי וכמה</t>
  </si>
  <si>
    <t>אז בעצם - מה מטרת המפגש - ״הכרה בהכנסות ובהוצאות - תהליך הרישום ופקודות התאמה / חתך״</t>
  </si>
  <si>
    <t>מנהלת החשבונות בחברה - מקבלת לתיעוד</t>
  </si>
  <si>
    <t>את ״החשבוניות והקבלות״</t>
  </si>
  <si>
    <t>עליה לתעד כל יום את כל העסקאות</t>
  </si>
  <si>
    <t>בהתאם לחשבוניות וקבלות שהיא מקבלת</t>
  </si>
  <si>
    <t>שאלה: נניח שמנהלת החשבונות מקבלת</t>
  </si>
  <si>
    <t>חשבונית שכתוב עליה ״העברה בנקאית</t>
  </si>
  <si>
    <t>עבור שירות - 100,000 ש״ח״</t>
  </si>
  <si>
    <t>האם לדעתכם יש למנהלת החשבונות זמן</t>
  </si>
  <si>
    <t xml:space="preserve">ללכת ולבדוק עם מנהלי הפרויקט איפה </t>
  </si>
  <si>
    <t>השירות הזה עומד? איזה חלק ממנו סופק?</t>
  </si>
  <si>
    <t>מה סטטוס הביצוע של הפרויקט?</t>
  </si>
  <si>
    <t>התשובה: לא. היא תרשום את העסקה</t>
  </si>
  <si>
    <t xml:space="preserve">לפי הסכום בחשבונית. אם כתוב שהתקבל עבור שירות - היא רושמת הכנסה. </t>
  </si>
  <si>
    <t>רגע! מה זה השטויות האלה?</t>
  </si>
  <si>
    <t>למה כל הסכומים שהתקבלו</t>
  </si>
  <si>
    <t>במזומן דווחו כהכנסה?</t>
  </si>
  <si>
    <t>הרי הכנסה צריכה לשקף בדיווחים</t>
  </si>
  <si>
    <t>למשקיע רק את שווי השירות</t>
  </si>
  <si>
    <t xml:space="preserve">שסיפקנו, את הביצועים - לא </t>
  </si>
  <si>
    <t>את התקבולים</t>
  </si>
  <si>
    <t>אני החשבונאי אדאג</t>
  </si>
  <si>
    <t>לבצע למענכם פקודת</t>
  </si>
  <si>
    <t>התאמה:</t>
  </si>
  <si>
    <t>לתקן ולעדכן את הרישום</t>
  </si>
  <si>
    <t>השוטף לערכים שבאמת</t>
  </si>
  <si>
    <t>משקפים את שווי</t>
  </si>
  <si>
    <t>השירות שסופק</t>
  </si>
  <si>
    <t>תהליך העבודה - מרמת הנהלת החשבונות לרמת ההתאמה והדוח - תיאור יותר טכני</t>
  </si>
  <si>
    <t>בהנהלת החשבונות:</t>
  </si>
  <si>
    <t>ח׳ מזומן.     ז׳ הכנסות</t>
  </si>
  <si>
    <t>ח׳ הוצאות.     ז׳ מזומן</t>
  </si>
  <si>
    <t xml:space="preserve">בבקרה התקופתית שמבצעים, </t>
  </si>
  <si>
    <t>עורכים בדיקה - מגלים את הערך /</t>
  </si>
  <si>
    <t>סכום הכנסה: שווי שירות שסופק</t>
  </si>
  <si>
    <t>סכום הוצאה: שווי שירות שנצרך</t>
  </si>
  <si>
    <t>רושמים בפקודה את העסקאות</t>
  </si>
  <si>
    <r>
      <t xml:space="preserve">את </t>
    </r>
    <r>
      <rPr>
        <b/>
        <sz val="12"/>
        <color theme="1"/>
        <rFont val="David"/>
        <family val="2"/>
        <charset val="177"/>
      </rPr>
      <t>השווי</t>
    </r>
    <r>
      <rPr>
        <sz val="12"/>
        <color theme="1"/>
        <rFont val="David"/>
        <family val="2"/>
        <charset val="177"/>
      </rPr>
      <t xml:space="preserve"> של השירות שסופק/נצרך</t>
    </r>
  </si>
  <si>
    <t>פקודת החתך</t>
  </si>
  <si>
    <t>פקודה ש״מתקנת״</t>
  </si>
  <si>
    <t xml:space="preserve">את הפקודה של הנהלת </t>
  </si>
  <si>
    <t xml:space="preserve">החשבונות לערך השווי </t>
  </si>
  <si>
    <t>הרלוונטי</t>
  </si>
  <si>
    <r>
      <t xml:space="preserve">לפי סכום </t>
    </r>
    <r>
      <rPr>
        <b/>
        <sz val="12"/>
        <color theme="1"/>
        <rFont val="David"/>
        <family val="2"/>
        <charset val="177"/>
      </rPr>
      <t>המזומן</t>
    </r>
  </si>
  <si>
    <t>הגדרה - יתרת חתך:</t>
  </si>
  <si>
    <t>תרגיל 0 - הכנסות, הוצאות, פעולות התאמה (פקודות התאמה) ויתרות חתך</t>
  </si>
  <si>
    <t xml:space="preserve">חברת ״אייפון של טחונים״ בע״מ התקשרה בהסכם למתן שירותים חברת ביאן בע״מ. </t>
  </si>
  <si>
    <t>להלן הנתונים לגבי שווי השירות שסיפקה חברת אייפון בכל שנה, וכן סכום המזומן שקיבלה מהלקוחה בכל שנה:</t>
  </si>
  <si>
    <t>סכום המזומן שהתקבל - אלפי ש״ח</t>
  </si>
  <si>
    <t xml:space="preserve">שווי השירות שסופק - אלפי ש״ח </t>
  </si>
  <si>
    <t>א. מהן פקודות היומן שתרשמנה בהנהלת החשבונות של החברה בכל אחת מהשנים?</t>
  </si>
  <si>
    <t>ב. מהו סכום ההכנסה שיש להציג למשקיע בכל אחת מהשנים?</t>
  </si>
  <si>
    <t>ג. מהי פקודת ההתאמה / פקודת החתך שתירשם בכל שנה (מטרתה - להתאים את הסכום של הנהלת החשבונות, לסכום שידווח).</t>
  </si>
  <si>
    <t>ד. מהי יתרת החתך לתום כל אחת מהשנים?</t>
  </si>
  <si>
    <t>נייר העבודה שבו אשתמש:</t>
  </si>
  <si>
    <t>פקודת היומן שתירשם בשנה</t>
  </si>
  <si>
    <t>בהנהלת החשבונות (לפי המזומן)</t>
  </si>
  <si>
    <t>לפי שווי שירות</t>
  </si>
  <si>
    <t>פקודת ההתאמה / פקודת החתך</t>
  </si>
  <si>
    <t>עדכון ההכנסות</t>
  </si>
  <si>
    <t>יתרת החתך - מי חייב למי</t>
  </si>
  <si>
    <t>וכמה</t>
  </si>
  <si>
    <t>ח׳ מזומן 150
ז׳ הכנסות 150</t>
  </si>
  <si>
    <t>ח׳ מזומן 350
ז׳ הכנסות 350</t>
  </si>
  <si>
    <t>הכנסות לקבל (נכס) 40</t>
  </si>
  <si>
    <t>הכנסות לקבל (נכס) 50</t>
  </si>
  <si>
    <t>הכנסות מראש (התחייבות) 220</t>
  </si>
  <si>
    <t>חובה הכנסות לקבל 40
זכות הכנסות 40</t>
  </si>
  <si>
    <t>חובה הכנסות לקבל 10
זכות הכנסות 10</t>
  </si>
  <si>
    <t>זכות הכנסות לקבל 50
זכות הכנסות מראש 220
חובה הכנסות 270</t>
  </si>
  <si>
    <t>חובה הכנסות מראש 220
זכות הכנסות 220</t>
  </si>
  <si>
    <t>תרגיל 0.1 - הכנסות, הוצאות, פעולות התאמה (פקודות התאמה) ויתרות חתך</t>
  </si>
  <si>
    <t xml:space="preserve">חברת ״החיייל עם הטונה בכיס״ בע״מ התקשרה בהסכם למתן שירותים. </t>
  </si>
  <si>
    <t>להלן הנתונים לגבי שווי השירות שסיפקה בכל שנה, וכן סכום המזומן שקיבלה מהלקוחה בכל שנה:</t>
  </si>
  <si>
    <t>ח׳ מזומן
ז׳ הכנסות
לפי סכום התקבול השנתי</t>
  </si>
  <si>
    <t>שווי השירות
(מספר)</t>
  </si>
  <si>
    <t>סוכמים את כל המזומן
עד כה
וגם את כל השירות
עד כה
מזומן &gt; שירות: 
ההפרש - 
הכנסות מראש (התחייבות)
מזומן &lt; שירות:
ההפרש:
הכנסות לקבל (נכס)</t>
  </si>
  <si>
    <t xml:space="preserve">חלק ראשון של פקודת
ההתאמה: אם צריך
להגדיל הכנסות : 
זכות הכנסות
אם צריך להקטין הכנסות
חובה הכנסות
חלק שני:
להגדיל הכנסות לקבל 
חובה הכנסות לקבל
להגדיל הכנסות מראש
זכות הכנסות מראש
ולהפך
</t>
  </si>
  <si>
    <t>ח׳ מזומן 400
ז׳ הכנסות 400</t>
  </si>
  <si>
    <t>ח׳ מזומן 450
ז׳ הכנסות 450</t>
  </si>
  <si>
    <t>הכנסות מראש 180</t>
  </si>
  <si>
    <t>הכנסות מראש 80</t>
  </si>
  <si>
    <t>הכנסות מראש 30</t>
  </si>
  <si>
    <t>חובה הכנסות 180
זכות הכנסות מראש 180</t>
  </si>
  <si>
    <t>חובה הכנסות מראש 100
זכות הכנסות 100</t>
  </si>
  <si>
    <t>חובה הכנסות מראש 50
זכות הכנסות 50</t>
  </si>
  <si>
    <t>חובה הכנסות מראש 30
זכות הכנסות 30</t>
  </si>
  <si>
    <t>בוצע עם קבוצת 12:15</t>
  </si>
  <si>
    <t>קבוצת 9:15 - השתמשו בתרגיל זה לתרגול נוסף!</t>
  </si>
  <si>
    <t>בוצע עם קבוצת 9:15</t>
  </si>
  <si>
    <t>קבוצת 12:15 - השתמשו בתרגיל זה לתרגול נוסף!</t>
  </si>
  <si>
    <t>שיעורי בית לשתי הקבוצות</t>
  </si>
  <si>
    <t>פקודת התאמה/פקודת חתך:</t>
  </si>
  <si>
    <r>
      <t xml:space="preserve">חברת ״בולגיטו״ </t>
    </r>
    <r>
      <rPr>
        <u/>
        <sz val="12"/>
        <color theme="1"/>
        <rFont val="David"/>
        <family val="2"/>
        <charset val="177"/>
      </rPr>
      <t>צרכה</t>
    </r>
    <r>
      <rPr>
        <sz val="12"/>
        <color theme="1"/>
        <rFont val="David"/>
        <family val="2"/>
        <charset val="177"/>
      </rPr>
      <t xml:space="preserve"> שירותי ייעוץ בתחום הנקניק. להלן נתונים בדבר שווי השירות שנצרך, לצד התשלומים שבוצעו בכל</t>
    </r>
  </si>
  <si>
    <r>
      <rPr>
        <b/>
        <u/>
        <sz val="12"/>
        <rFont val="David"/>
        <family val="2"/>
        <charset val="177"/>
      </rPr>
      <t>פקודה</t>
    </r>
    <r>
      <rPr>
        <sz val="12"/>
        <rFont val="David"/>
        <family val="2"/>
        <charset val="177"/>
      </rPr>
      <t xml:space="preserve"> להוצאה</t>
    </r>
  </si>
  <si>
    <t>הוצאות מראש (נכס) 170</t>
  </si>
  <si>
    <t>הוצאות מראש (נכס) 100</t>
  </si>
  <si>
    <r>
      <rPr>
        <u/>
        <sz val="12"/>
        <color theme="1"/>
        <rFont val="David"/>
        <family val="2"/>
        <charset val="177"/>
      </rPr>
      <t>שצרכה</t>
    </r>
    <r>
      <rPr>
        <sz val="12"/>
        <color theme="1"/>
        <rFont val="David"/>
        <family val="2"/>
        <charset val="177"/>
      </rPr>
      <t xml:space="preserve"> החברה, לצד סכומי </t>
    </r>
    <r>
      <rPr>
        <u/>
        <sz val="12"/>
        <color theme="1"/>
        <rFont val="David"/>
        <family val="2"/>
        <charset val="177"/>
      </rPr>
      <t>התשלומים</t>
    </r>
    <r>
      <rPr>
        <sz val="12"/>
        <color theme="1"/>
        <rFont val="David"/>
        <family val="2"/>
        <charset val="177"/>
      </rPr>
      <t xml:space="preserve"> שבוצעו במזומן לספק בכל אחת מהשנים:</t>
    </r>
  </si>
  <si>
    <r>
      <rPr>
        <u/>
        <sz val="12"/>
        <rFont val="David"/>
        <family val="2"/>
        <charset val="177"/>
      </rPr>
      <t>פקודה</t>
    </r>
    <r>
      <rPr>
        <sz val="12"/>
        <rFont val="David"/>
        <family val="2"/>
        <charset val="177"/>
      </rPr>
      <t xml:space="preserve"> להוצאה</t>
    </r>
  </si>
  <si>
    <t>הוצאות מראש (נכס) 35</t>
  </si>
  <si>
    <t>הוצאות מראש (נכס) 25</t>
  </si>
  <si>
    <t>ח׳ הוצאות לשלם 5
ח׳ הוצאות מראש 45
ז׳ הוצאות 50</t>
  </si>
  <si>
    <t>שאלה 2.1 - עסקאות שירות מתמשך - דיון בסעיפים שונים ותרגום ערכים מילוליים לשווי שירות / מבנה מקובל</t>
  </si>
  <si>
    <t>פקודת התאמה = פקודת חתך</t>
  </si>
  <si>
    <t xml:space="preserve">אירוע 1: </t>
  </si>
  <si>
    <t>בתאריך 30.6.2022 חתמה יובלי בע״מ על הסכם במסגרתו היא תצרוך שירות בשווי כולל של 900,000 ש״ח במהלך תקופה של 6 שנים.</t>
  </si>
  <si>
    <t>מלוא הסכום שולם על ידי יובלי לספק מיד במועד חתימת ההסדר.</t>
  </si>
  <si>
    <t xml:space="preserve">בצעו כל אלו לשנים 2022 ו-2023. </t>
  </si>
  <si>
    <t xml:space="preserve">בתור התחלה, אנו כבר יודעים לעבוד במתכונת מסודרת - אם אני יודע כמה מזומן שולם וכמה שירות נצרך, אני יודע להפעיל את </t>
  </si>
  <si>
    <t xml:space="preserve">כל התהליך של הרישומים והתיעוד המתבקש (כמו בתרגילים קודמים). </t>
  </si>
  <si>
    <t>הבעיה היא שבשאלה זו הנתונים הם ״מילוליים״ - ובמקום לקבל מידע מסודר בטבלה, אני צריך להגיע אליו בעצמי / לסדר אותו.</t>
  </si>
  <si>
    <t>מזומן שולם</t>
  </si>
  <si>
    <t>שירות נצרך (*)</t>
  </si>
  <si>
    <t>אין מידע מדויק על היקף השירות שנצרך (בערכים כספיים). בדרך כלל, נשתמש בהנחות הבאות:</t>
  </si>
  <si>
    <t>א. אם מדובר בשירות שנצרך על פני זמן - אופן הפריסה שלו לפי שנים.</t>
  </si>
  <si>
    <t>ב. אם מספקים מידע על אחוז השירות שנצרך בכל שנה - אזי שווי הסדר מוכפל באחוז = שווי השירות.</t>
  </si>
  <si>
    <t>במקרה שלנו - שווי השירות ל-6 שנים מלאות: הוא 900,000 ש״ח.ֿ</t>
  </si>
  <si>
    <t>שווי שירות נצרך בשנה שלמה = 12 חודשים:</t>
  </si>
  <si>
    <t>900,000 / 6 = 150,000</t>
  </si>
  <si>
    <t>בשנת 2022, צרכנו שירותים במהלך התקופה:</t>
  </si>
  <si>
    <t>החל מ</t>
  </si>
  <si>
    <t>מועד החתימה</t>
  </si>
  <si>
    <t>עד לתום השנה</t>
  </si>
  <si>
    <t>בסך הכל זה אומר ששווי השירות שנצרך בשנה הקלנדרית 2022:</t>
  </si>
  <si>
    <t xml:space="preserve">150,000 * 6/12 = </t>
  </si>
  <si>
    <t>בהתאמה לחצי שנה.</t>
  </si>
  <si>
    <t>בשנת 2023, השירות נצרך שנה שלמה. ולכן - שווי הצריכה בשנה זו: 150,000</t>
  </si>
  <si>
    <t>תהליך פתרון:</t>
  </si>
  <si>
    <t>יתרת חתך (התחשבנות)</t>
  </si>
  <si>
    <t>פקודת התאמה / פקודת חתך</t>
  </si>
  <si>
    <r>
      <t xml:space="preserve">נדרש: מהו האופן שבו תירשם העסקה בהנה״ח </t>
    </r>
    <r>
      <rPr>
        <b/>
        <sz val="12"/>
        <color theme="1"/>
        <rFont val="David"/>
        <family val="2"/>
        <charset val="177"/>
      </rPr>
      <t>של יובלי</t>
    </r>
    <r>
      <rPr>
        <sz val="12"/>
        <color theme="1"/>
        <rFont val="David"/>
        <family val="2"/>
        <charset val="177"/>
      </rPr>
      <t xml:space="preserve">? מהי ההוצאה ברוו״ה? מהי יתרת החתך? רשמו גם פקודת חתך (התאמה). </t>
    </r>
  </si>
  <si>
    <t>חובה הוצאות 900,000
זכות מזומן 900,000</t>
  </si>
  <si>
    <t>הוצ׳ (רוו״ה)</t>
  </si>
  <si>
    <t>הוצאות מראש (נכס): 825,000</t>
  </si>
  <si>
    <t>הוצאות מראש (נכס): 675,000</t>
  </si>
  <si>
    <t>חובה הוצאות מראש 825,000
זכות הוצאות 825,000</t>
  </si>
  <si>
    <t>זכות הוצאות מראש 150,000
חובה הוצאות 150,000</t>
  </si>
  <si>
    <t>כלומר חצי שנה, 6 חודשים</t>
  </si>
  <si>
    <t xml:space="preserve">אירוע 2: </t>
  </si>
  <si>
    <t xml:space="preserve">במהלך שנת 2023, צרכה חברת בוניטו שירותים במהלך השנה כולה. </t>
  </si>
  <si>
    <t xml:space="preserve">יחד עם זאת, התשלומים לספק שירותי הנקניק בגין נובמבר ודצמבר טרם בוצעו. </t>
  </si>
  <si>
    <t xml:space="preserve">נדרש: רשמו פקודה בהנה״ח, סכום הוצאה ברוו״ה, יתרת חתך ופקודת חתך / התאמה בשנת 2023 בגין אירוע זה. </t>
  </si>
  <si>
    <t>שווי שירות שנצרך</t>
  </si>
  <si>
    <t>מזומן ששולם ב-2023:</t>
  </si>
  <si>
    <t>בשנה זו נתון שבגין נובמבר ודצמבר (חודשים 11 ו-12) טרם בוצע תשלום.</t>
  </si>
  <si>
    <t>המסקנה היא, בהיעדר נתונים סותרים, שהתשלומים בגין כל יתר החודשים - ינואר עד אוקטובר 1-10 בוצעו.</t>
  </si>
  <si>
    <t>לכן סך התשלומים במזומן:</t>
  </si>
  <si>
    <t>20,000 * 10 = 200,000</t>
  </si>
  <si>
    <t>שווי שירות שנצרך ב-2023:</t>
  </si>
  <si>
    <t>20,000 * 12 = 240,000</t>
  </si>
  <si>
    <t>נעבור לתהליך העבודה:</t>
  </si>
  <si>
    <r>
      <t xml:space="preserve">למרות שטרם בוצע תשלום על נובמבר ודצמבר, צריכת השירות - </t>
    </r>
    <r>
      <rPr>
        <u/>
        <sz val="12"/>
        <color theme="1"/>
        <rFont val="David"/>
        <family val="2"/>
        <charset val="177"/>
      </rPr>
      <t>בוצעה במהלך השנה כולה</t>
    </r>
    <r>
      <rPr>
        <sz val="12"/>
        <color theme="1"/>
        <rFont val="David"/>
        <family val="2"/>
        <charset val="177"/>
      </rPr>
      <t xml:space="preserve">. </t>
    </r>
  </si>
  <si>
    <r>
      <t xml:space="preserve">לכן, שווי השירות שנצרך הוא לפי </t>
    </r>
    <r>
      <rPr>
        <u/>
        <sz val="12"/>
        <color theme="1"/>
        <rFont val="David"/>
        <family val="2"/>
        <charset val="177"/>
      </rPr>
      <t>12 חודשים</t>
    </r>
    <r>
      <rPr>
        <sz val="12"/>
        <color theme="1"/>
        <rFont val="David"/>
        <family val="2"/>
        <charset val="177"/>
      </rPr>
      <t>:</t>
    </r>
  </si>
  <si>
    <t>רישום בהנה״ח</t>
  </si>
  <si>
    <t>הוצ׳ בדוח</t>
  </si>
  <si>
    <t xml:space="preserve">פקודת חתך </t>
  </si>
  <si>
    <t>ח׳ הוצאות חימום נקניק 200,000</t>
  </si>
  <si>
    <t>ז׳ מזומן 200,000</t>
  </si>
  <si>
    <t>הוצאות לשלם (התחייבות) 40,000</t>
  </si>
  <si>
    <t>ח׳ הוצאות חימום נקניק 40,000</t>
  </si>
  <si>
    <t>ז׳ הוצאות לשלם 40,000</t>
  </si>
  <si>
    <t xml:space="preserve">אירוע 3: </t>
  </si>
  <si>
    <t>ד״ר צבאן הצליח לסגור מול נועה קירל על אספקת שירותי חימום נקניק לכל הופעותיה בעתיד הקרוב.</t>
  </si>
  <si>
    <t xml:space="preserve">כיאה למעמדו, לאחר משא ומתן מייגע הוסכם כי הד״ר יקבל סכום של 500,000 ש״ח מראש בעד שירותיו השונים. </t>
  </si>
  <si>
    <t>ההסכם נחתם ב-1.3.2025, ובבדיקה שנערכה, התגלה שעד ליום 31.12.2025 סיפק הד״ר 10% מהיקף השירות הכולל שהוגדר בהסכם.</t>
  </si>
  <si>
    <t>מזומן שהתקבל</t>
  </si>
  <si>
    <t>שווי השירות שסופק איננו נתון;</t>
  </si>
  <si>
    <t xml:space="preserve">אבל מצויין ששיעורו באחוזים מכל ההסכם הוא 10%. </t>
  </si>
  <si>
    <t>לכן, אם שווי ההסכם הכולל הוא 500,000, שווי השירות שסופק השנה,</t>
  </si>
  <si>
    <t>בהתאם לאחוז הנקוב: 50,000 = 10% * 500,000</t>
  </si>
  <si>
    <t>נדרש: תעדו באופן מלא את השפעות העסקה על דוחות ד״ר צבאן ב-2025: בהנה״ח, סך ההוצאה, יתרת חתך, פקודת חתך / התאמה.</t>
  </si>
  <si>
    <t>ח׳ מזומן 500,000</t>
  </si>
  <si>
    <t>ז׳ הכנסות 500,000</t>
  </si>
  <si>
    <t>הכנסות בדוח</t>
  </si>
  <si>
    <t>ח׳ הכנסות 450,000</t>
  </si>
  <si>
    <t>ז׳ הכנסות מראש 450,000</t>
  </si>
  <si>
    <t>ד״ר צבאן חתם על הסכם לספק שירותי חימום נקניק לחוסני במשך שנתיים.</t>
  </si>
  <si>
    <t xml:space="preserve">שווי השירות לכל השנתיים הוא 700,000 ש״ח. </t>
  </si>
  <si>
    <t xml:space="preserve">ההסכם נחתם ב-30.9.2022 וסיומו ב-30.9.2024. </t>
  </si>
  <si>
    <t xml:space="preserve">על פי תנאי ההסכם, חוסני ישלם את התמורה לד״ר צבאן רק כאשר ההסכם יגיע לכדי סיום. </t>
  </si>
  <si>
    <t xml:space="preserve">נדרש: רשמו את כל התהליך החשבונאי בגין העסקה (הנה״ח, הכנסות בדוח, יתרת חתך, פקודת חתך) עבור ד״ר צבאן בשנת 2022. </t>
  </si>
  <si>
    <t xml:space="preserve">אירוע 4: </t>
  </si>
  <si>
    <t>מזומן התקבל</t>
  </si>
  <si>
    <t>שווי שירות</t>
  </si>
  <si>
    <t>שווי שירות ב-2022:</t>
  </si>
  <si>
    <t>ידוע ששווי השירות לשנתיים שלמות: 700,000</t>
  </si>
  <si>
    <t>זה אומר, בגסות, ששווי השירות לשנה שלמה: 350,000 = 2 / 700,000</t>
  </si>
  <si>
    <t xml:space="preserve">ב-2022 לא סיפקנו שנה שלמה, אלא 3 חודשים: מ-30.9.2022 מועד החתימה, עד לתום שנה זו 31.12.2022. </t>
  </si>
  <si>
    <t>לכן, שווי השירות ל-3 חודשים:</t>
  </si>
  <si>
    <t>350,000 * 3 / 12 = 87,500</t>
  </si>
  <si>
    <t>הכנסות לקבל (נכס) 87,500</t>
  </si>
  <si>
    <t>זכות הכנסות 87,500</t>
  </si>
  <si>
    <t>חובה הכנסות לקבל 87,500</t>
  </si>
  <si>
    <t>א. השלמת הסיטואציה של תהליך הרישום - הנה״ח, דיווח, יתרת חתך, פקודת חתך ---- מצד צריכת השירותים, ובפרט:</t>
  </si>
  <si>
    <t>יתרת התחשבנות (מצטברת)</t>
  </si>
  <si>
    <t>ח׳ הוצאות מראש 170
ז׳ הוצאות 170</t>
  </si>
  <si>
    <t>ז׳ הוצאות מראש 70
ח׳ הוצאות 70</t>
  </si>
  <si>
    <t>ח׳ הוצאות 140
ז׳ הוצאות לשלם 140</t>
  </si>
  <si>
    <t>הוצאות לשלם (התחייבות) 140 = 580 - 720</t>
  </si>
  <si>
    <t>יתרת התחשבנות (יתרת חתך)</t>
  </si>
  <si>
    <t>תהיה הוצאות מראש (חייבים לי)</t>
  </si>
  <si>
    <t>או הוצאות לשלם (התחייבות)</t>
  </si>
  <si>
    <t>ז׳ הוצאות לשלם 5
ח׳ הוצאות 5</t>
  </si>
  <si>
    <r>
      <t xml:space="preserve">הוצאות </t>
    </r>
    <r>
      <rPr>
        <b/>
        <u/>
        <sz val="12"/>
        <rFont val="David"/>
        <family val="2"/>
        <charset val="177"/>
      </rPr>
      <t>לשלם</t>
    </r>
    <r>
      <rPr>
        <sz val="12"/>
        <rFont val="David"/>
        <family val="2"/>
        <charset val="177"/>
      </rPr>
      <t xml:space="preserve"> (התחייבות) 5</t>
    </r>
  </si>
  <si>
    <r>
      <t xml:space="preserve">הוצאות </t>
    </r>
    <r>
      <rPr>
        <b/>
        <u/>
        <sz val="12"/>
        <rFont val="David"/>
        <family val="2"/>
        <charset val="177"/>
      </rPr>
      <t>מראש</t>
    </r>
    <r>
      <rPr>
        <sz val="12"/>
        <rFont val="David"/>
        <family val="2"/>
        <charset val="177"/>
      </rPr>
      <t xml:space="preserve"> (נכס) 45</t>
    </r>
  </si>
  <si>
    <r>
      <t xml:space="preserve">כאשר במעבר משנה לשנה
</t>
    </r>
    <r>
      <rPr>
        <u/>
        <sz val="12"/>
        <rFont val="David"/>
        <family val="2"/>
        <charset val="177"/>
      </rPr>
      <t>סוג יתרת החתך משתנה</t>
    </r>
    <r>
      <rPr>
        <sz val="12"/>
        <rFont val="David"/>
        <family val="2"/>
        <charset val="177"/>
      </rPr>
      <t xml:space="preserve">
יש: לאפס יתרה קודמת + ליצור חדשה</t>
    </r>
  </si>
  <si>
    <t>ח׳ הוצאות 10
ז׳ הוצאות מראש 10</t>
  </si>
  <si>
    <t>ח׳ הוצאות 25
ז׳ הוצאות מראש 25</t>
  </si>
  <si>
    <t xml:space="preserve">חברת בוניטו צורכת שירותי חימום נקניק מדי חודש בשווי חודשי של 20,000 ש״ח. </t>
  </si>
  <si>
    <t>הכנסות מראש(התחייבות) 450,000</t>
  </si>
  <si>
    <t>מפגש 6 - לקוחות והלח״מ 3.12.2025</t>
  </si>
  <si>
    <t>נושא חדש - מיקוד ספציפי -לקוחות והלח״מ</t>
  </si>
  <si>
    <t>סך החוב הכולל / המשפטי של לקוחות החברה כלפיה</t>
  </si>
  <si>
    <t>סעיף הלקוחות שיוצג בדוח הסופי - במאזן.</t>
  </si>
  <si>
    <t xml:space="preserve">רק המכירות באשראי יגדילו את </t>
  </si>
  <si>
    <t>הלקוחות (בחובה)</t>
  </si>
  <si>
    <t>גבייה מלקוחות מקטינה את חובם</t>
  </si>
  <si>
    <t>כלפיי (הלקוחות קטנים - בזכות)</t>
  </si>
  <si>
    <t>עלינו לחשב את יתרת (ערך מצטבר)</t>
  </si>
  <si>
    <t>הלקוחות ברוטו - ו 10% ממנה זה החוב</t>
  </si>
  <si>
    <t>הבעייתי = הלח״מ.</t>
  </si>
  <si>
    <t>מכירות באשראי יגדילו את הלקוחות (בחובה)</t>
  </si>
  <si>
    <t>גבייה מלקוח: חוב הלקוח ברוטו קטן (זכות)</t>
  </si>
  <si>
    <t>מקטין את ההלח״מ (בחובה)</t>
  </si>
  <si>
    <t>מקטין את הלקוחות ברוטו (בזכות)</t>
  </si>
  <si>
    <t>תרגיל כיתה - להתנסות שלכם</t>
  </si>
  <si>
    <t>להלן נתונים בדבר עסקאות ואירועים בשנים 2021 ו-2022:</t>
  </si>
  <si>
    <t>א. בוצעו מכירות במזומן בהיקף 300,000</t>
  </si>
  <si>
    <t>ב. בוצעו מכירות באשראי בהיקף 200,000</t>
  </si>
  <si>
    <t>ג. בוצעה גבייה מלקוחות בהיקף 180,000</t>
  </si>
  <si>
    <t>ד. החברה מעריכה את ההלח״מ לפי 5%</t>
  </si>
  <si>
    <t xml:space="preserve">מיתרת הלקוחות ברוטו. </t>
  </si>
  <si>
    <r>
      <t xml:space="preserve">בחברת ״הנקניק המהיר״ יתרת הלקוחות ברוטו ל-31.12.2020 היא 30,000 ש״ח (בחובה), </t>
    </r>
    <r>
      <rPr>
        <b/>
        <sz val="12"/>
        <color theme="1"/>
        <rFont val="David"/>
        <family val="2"/>
        <charset val="177"/>
      </rPr>
      <t xml:space="preserve">וההלח״מ ליום זה הוא 5% מהסכום. </t>
    </r>
  </si>
  <si>
    <t>ה. בוצעו מכירות בהיקף של 500,000 ש״ח, מתוכן 290,000 ש״ח במזומן, היתר באשראי.</t>
  </si>
  <si>
    <t xml:space="preserve">ו. בוצעה גבייה מלקוחות בהיקף של 140,000 ש״ח. </t>
  </si>
  <si>
    <t>ז. התגלה ונרשם חוב אבוד בסך 9,000 ש״ח.</t>
  </si>
  <si>
    <t>ח. לתום השנה, החברה מעריכה את ההלח״מ לפי 7% מיתרת הלקוחות ברוטו</t>
  </si>
  <si>
    <t>נדרש: חשבו והציגו, במבנה הנלמד את: (1) יתרת הלקוחות ברוטו לתום כל שנה (2) ההלח״מ לתום כל שנה (3) לקוחות נטו לתום כל שנה (4) הוצאות הלח״מ לכל שנה.</t>
  </si>
  <si>
    <t>מכר אשראי</t>
  </si>
  <si>
    <t>מכר אשראי
וגבייה</t>
  </si>
  <si>
    <t>הלח״מ:</t>
  </si>
  <si>
    <t>אופן חישוב הוצאות הלח״מ - 2022:</t>
  </si>
  <si>
    <t>יתרת פתיחה ל-31.12.2021</t>
  </si>
  <si>
    <t>יתרת סגירה ל-31.12.2022</t>
  </si>
  <si>
    <t>הוצ׳ הלח״מ - 2022</t>
  </si>
  <si>
    <t>רישום חוב אבוד - 2022</t>
  </si>
  <si>
    <t>תשובות סופיות:</t>
  </si>
  <si>
    <t>נכס הלקוחות (אחד מהנכסים הכלולים במאזן) הוא נכס המשקף את חוב לקוחות החברה כלפיה - למועד הדיווח.</t>
  </si>
  <si>
    <t>אופן מדידת את סעיף הלקוחות במאזן (להצגה למשקיע) הוא לפי - הלקוחות (נטו) בדוח על המצב הכספי:</t>
  </si>
  <si>
    <r>
      <t xml:space="preserve">אנו נדאג למדוד את הלקוחות לפי ההפרש בין </t>
    </r>
    <r>
      <rPr>
        <u/>
        <sz val="12"/>
        <color theme="1"/>
        <rFont val="David"/>
        <family val="2"/>
        <charset val="177"/>
      </rPr>
      <t>הלקוחות ברוטו</t>
    </r>
    <r>
      <rPr>
        <sz val="12"/>
        <color theme="1"/>
        <rFont val="David"/>
        <family val="2"/>
        <charset val="177"/>
      </rPr>
      <t xml:space="preserve"> (המייצגים את סך חוב הלקוחות של החברה כלפיה)</t>
    </r>
  </si>
  <si>
    <t>לבין החלק מהחוב שמוגדר כחוב הבעייתי (שצפויים לגביו קשיי גבייה).</t>
  </si>
  <si>
    <r>
      <rPr>
        <b/>
        <sz val="12"/>
        <color theme="1"/>
        <rFont val="David"/>
        <family val="2"/>
        <charset val="177"/>
      </rPr>
      <t>ה</t>
    </r>
    <r>
      <rPr>
        <sz val="12"/>
        <color theme="1"/>
        <rFont val="David"/>
        <family val="2"/>
        <charset val="177"/>
      </rPr>
      <t xml:space="preserve">פרשה </t>
    </r>
    <r>
      <rPr>
        <b/>
        <sz val="12"/>
        <color theme="1"/>
        <rFont val="David"/>
        <family val="2"/>
        <charset val="177"/>
      </rPr>
      <t>לח</t>
    </r>
    <r>
      <rPr>
        <sz val="12"/>
        <color theme="1"/>
        <rFont val="David"/>
        <family val="2"/>
        <charset val="177"/>
      </rPr>
      <t xml:space="preserve">ובות </t>
    </r>
    <r>
      <rPr>
        <b/>
        <sz val="12"/>
        <color theme="1"/>
        <rFont val="David"/>
        <family val="2"/>
        <charset val="177"/>
      </rPr>
      <t>מ</t>
    </r>
    <r>
      <rPr>
        <sz val="12"/>
        <color theme="1"/>
        <rFont val="David"/>
        <family val="2"/>
        <charset val="177"/>
      </rPr>
      <t>סופקים = הלח״מ, חוב שגבייתו מוטלת בספק (בסיכון)</t>
    </r>
  </si>
  <si>
    <t>ואם כך, הדיון מבחינתנו בלקוחות יכלול:</t>
  </si>
  <si>
    <t xml:space="preserve">לחשב ולהבהיר את המשמעות של החלק הבעייתי בחוב - ההלח״מ. </t>
  </si>
  <si>
    <t>להציג את הלקוחות נטו כנכס במאזן: לקוחות ברוטו פחות ההלח״מ.</t>
  </si>
  <si>
    <t>לבטא את ההוצאה השנתית הנובעת מעלייה בהיקף החובות הבעייתיים = הוצאות הלח״מ.</t>
  </si>
  <si>
    <t>הבנה של האירועים שמשפיעים על הלקוחות ברוטו או על החוב ברוטו (מכירות באשראי + ; גבייה מלקוחות (-))</t>
  </si>
  <si>
    <t>X = 14,270</t>
  </si>
  <si>
    <t>2,500 - 9,000 + X = 7,770</t>
  </si>
  <si>
    <t>הרצאה 7 - רכוש קבוע: 10/12/2025</t>
  </si>
  <si>
    <r>
      <rPr>
        <b/>
        <u/>
        <sz val="12"/>
        <color theme="1"/>
        <rFont val="David"/>
        <family val="2"/>
        <charset val="177"/>
      </rPr>
      <t>עלות</t>
    </r>
    <r>
      <rPr>
        <b/>
        <sz val="12"/>
        <color theme="1"/>
        <rFont val="David"/>
        <family val="2"/>
        <charset val="177"/>
      </rPr>
      <t xml:space="preserve"> - - כך נעבוד!!!</t>
    </r>
  </si>
  <si>
    <t>תרגיל 1 - הדגמה לחישובי רכוש קבוע:  פחת נצבר וערך ספרים - שיטת הקו הישר</t>
  </si>
  <si>
    <t>D = Depriciation = פחת לשנה שלמה</t>
  </si>
  <si>
    <t xml:space="preserve">הוצאות הפחת הן הוצאה שנרשמת בדוח רווח והפסד בכל שנת דיווח: עלות בניכוי שייר / גרט (כאן - אין גרט) חלקי תקופת הפחתה. </t>
  </si>
  <si>
    <t xml:space="preserve">ערך ספרים נקרא לעתים גם ״עלות מופחתת״ או ״רכוש קבוע, נטו״ = עלות בניכוי פחת נצבר לכל תאריך. </t>
  </si>
  <si>
    <t>בדוח רווח והפסד</t>
  </si>
  <si>
    <t>רגע לפני המכירה</t>
  </si>
  <si>
    <r>
      <rPr>
        <u/>
        <sz val="12"/>
        <color theme="1"/>
        <rFont val="David"/>
        <family val="2"/>
        <charset val="177"/>
      </rPr>
      <t>הפסד הון</t>
    </r>
    <r>
      <rPr>
        <sz val="12"/>
        <color theme="1"/>
        <rFont val="David"/>
        <family val="2"/>
        <charset val="177"/>
      </rPr>
      <t>: הפרש שלילי בין תמורת המכירה (נתון) 25,000</t>
    </r>
  </si>
  <si>
    <r>
      <t xml:space="preserve">לבין ערך הספרים ״רגע לפני המכירה״: </t>
    </r>
    <r>
      <rPr>
        <sz val="12"/>
        <color rgb="FFFF0000"/>
        <rFont val="David"/>
        <family val="2"/>
        <charset val="177"/>
      </rPr>
      <t>100,417</t>
    </r>
  </si>
  <si>
    <t>להבאת הפריט למיקום ולמצב מוכן לעבודה (עלויות שנתיות או תחזוקה</t>
  </si>
  <si>
    <t>שוטפת אינן חלק מהעלות).</t>
  </si>
  <si>
    <r>
      <rPr>
        <u/>
        <sz val="12"/>
        <color theme="1"/>
        <rFont val="David"/>
        <family val="2"/>
        <charset val="177"/>
      </rPr>
      <t>עלות</t>
    </r>
    <r>
      <rPr>
        <sz val="12"/>
        <color theme="1"/>
        <rFont val="David"/>
        <family val="2"/>
        <charset val="177"/>
      </rPr>
      <t>: כוללת את עלות הרכישה בתוספת כל העלויות החיוניות האחרות</t>
    </r>
  </si>
  <si>
    <r>
      <rPr>
        <u/>
        <sz val="12"/>
        <color theme="1"/>
        <rFont val="David"/>
        <family val="2"/>
        <charset val="177"/>
      </rPr>
      <t>הוצאות פחת</t>
    </r>
    <r>
      <rPr>
        <sz val="12"/>
        <color theme="1"/>
        <rFont val="David"/>
        <family val="2"/>
        <charset val="177"/>
      </rPr>
      <t>: עלות בניכוי הגרט / השייר -- המחולק בתקופת הפחתה.</t>
    </r>
  </si>
  <si>
    <t>כך מקבלים פחת לשנה שלמה. אם הפחת על פחות משנה - כופלים</t>
  </si>
  <si>
    <t xml:space="preserve">בחלק היחסי, למשל על חודשיים: 2/12, וכו׳. </t>
  </si>
  <si>
    <t>אחרי המכירה - מאפסים עלות ופחת נצבר;</t>
  </si>
  <si>
    <t>הפרש בין תמורת מכירה לערך ספרים במכירה: רווח / הפסד הון.</t>
  </si>
  <si>
    <r>
      <rPr>
        <u/>
        <sz val="12"/>
        <color theme="1"/>
        <rFont val="David"/>
        <family val="2"/>
        <charset val="177"/>
      </rPr>
      <t>כשיש מכירה</t>
    </r>
    <r>
      <rPr>
        <sz val="12"/>
        <color theme="1"/>
        <rFont val="David"/>
        <family val="2"/>
        <charset val="177"/>
      </rPr>
      <t>:  מחשבים את הפחת רק עד המכירה;</t>
    </r>
  </si>
  <si>
    <t>שלב 1: חשב ״סכום ספרות״</t>
  </si>
  <si>
    <t xml:space="preserve">n * (n + 1) / 2 </t>
  </si>
  <si>
    <t>כאשר n הוא תקופת ההפחתה של הנכס</t>
  </si>
  <si>
    <t>6 * 7 / 2 = 21</t>
  </si>
  <si>
    <t>שלב 2: הקצאת ספרות לשנים מ-n ומטה</t>
  </si>
  <si>
    <t>הסבר</t>
  </si>
  <si>
    <t xml:space="preserve">n - 2 </t>
  </si>
  <si>
    <t xml:space="preserve">n - 3 </t>
  </si>
  <si>
    <t xml:space="preserve">n - 1  </t>
  </si>
  <si>
    <t>שלב 3: בכל שנה הוצ׳ הפחת הן לפי היחס בין הספרה לסכום הספרות</t>
  </si>
  <si>
    <t>חישוב</t>
  </si>
  <si>
    <t xml:space="preserve">(1,890 - 690) * 6/21 = </t>
  </si>
  <si>
    <t xml:space="preserve">(1,890 - 690) * 5/21 = </t>
  </si>
  <si>
    <t xml:space="preserve">(1,890 - 690) * 4/21 = </t>
  </si>
  <si>
    <t xml:space="preserve">(1,890 - 690) * 3/21 = </t>
  </si>
  <si>
    <t>שאלה 7 - רכוש קבוע, אריאל 2 - סכום ספרות, שנים לא שלמות</t>
  </si>
  <si>
    <t>שלב 1 - חשבו סכום ספרות</t>
  </si>
  <si>
    <t xml:space="preserve">n * (n + 1)/2 </t>
  </si>
  <si>
    <t>כאשר n הוא תקופת ההפחתה בשנים</t>
  </si>
  <si>
    <t>10 * 11 / 2 = 55</t>
  </si>
  <si>
    <t>שלב 2 - הקצאת ספרות</t>
  </si>
  <si>
    <t>מ</t>
  </si>
  <si>
    <t>עד</t>
  </si>
  <si>
    <t>חודשים</t>
  </si>
  <si>
    <t>ערכים אלו ישרתו את חישוב הפחת ב-2018</t>
  </si>
  <si>
    <t>ערכים אלו ישרתו את חישוב הפחת ב-2019</t>
  </si>
  <si>
    <t>ערכים אלו ישרתו את חישוב הפחת ב-2020</t>
  </si>
  <si>
    <t>כושר השימוש של נכס</t>
  </si>
  <si>
    <r>
      <t xml:space="preserve">אורך החיים השימושיים של המכונה לייצור נקניק הוא </t>
    </r>
    <r>
      <rPr>
        <sz val="12"/>
        <color rgb="FFFF0000"/>
        <rFont val="David"/>
        <family val="2"/>
        <charset val="177"/>
      </rPr>
      <t>10</t>
    </r>
    <r>
      <rPr>
        <sz val="12"/>
        <color theme="1"/>
        <rFont val="David"/>
        <family val="2"/>
        <charset val="177"/>
      </rPr>
      <t xml:space="preserve"> שנים, </t>
    </r>
  </si>
  <si>
    <r>
      <rPr>
        <sz val="12"/>
        <color rgb="FFFF0000"/>
        <rFont val="David"/>
        <family val="2"/>
        <charset val="177"/>
      </rPr>
      <t>10</t>
    </r>
    <r>
      <rPr>
        <sz val="12"/>
        <color theme="1"/>
        <rFont val="David"/>
        <family val="2"/>
        <charset val="177"/>
      </rPr>
      <t xml:space="preserve"> * (10 + 1) / 2 = 55</t>
    </r>
  </si>
  <si>
    <t>שאלה 6.1 - תרגול כיתתי - סכום ספרות סס״י</t>
  </si>
  <si>
    <t xml:space="preserve">חברה שוקלת לרכוש מכונה ענקית לטחינת פופיקים וכרבולות בעלות של 500,000 ש״ח. </t>
  </si>
  <si>
    <t xml:space="preserve">הרכישה בוצעה בפועל ב-1.1.2020, כאשר פרט לעלויות הרכישה שולמו עלויות הובלה בסך 50,000 ש״ח. </t>
  </si>
  <si>
    <t>ערך השייר / הגרט המוגדר למכונה הוא 90,000 ש״ח,</t>
  </si>
  <si>
    <t>אורך חייה השימושיים (תקופת הפחתתה) הוא 10 שנים,</t>
  </si>
  <si>
    <t>המכונה הגיעה לחברה ב-1.2.2020, הפכה לזמינה לשימוש ב-1.3.2020, והחלה לשרת את החברה בפועל ב-1.5.2020.</t>
  </si>
  <si>
    <t xml:space="preserve">החברה מיישמת את שיטת הפחת - סכום ספרות יורד (סס״י). </t>
  </si>
  <si>
    <t>הציגו בטבלה מסודרת את עלות הפריט, הפחת הנצבר בגינו, ערך הספרים שלו (עלות בניכוי פחת נצבר) וכן את הוצאות</t>
  </si>
  <si>
    <t xml:space="preserve">הפחת, עבור הדיווח הכספי לכל אחת מהשנים: 2020, 2021, 2022. </t>
  </si>
  <si>
    <t>תהליך עבודה:</t>
  </si>
  <si>
    <t>n * (n+1)/2</t>
  </si>
  <si>
    <t>כאשר n הוא תקופת ההפחתה</t>
  </si>
  <si>
    <t>שלב 2 - הקצו ספרה לכל שנה, בסדר יורד (שימו לב למספר החודשים שבהם תקפה כל ספרה)</t>
  </si>
  <si>
    <t>שלב 3 - חשבו את הוצאות הפחת השנתיות לפי היחס בין הספרה / הספרות לבין סכום הספרות</t>
  </si>
  <si>
    <t>אופן חישוב הוצאות פחת:</t>
  </si>
  <si>
    <t xml:space="preserve">סכום ספרות - </t>
  </si>
  <si>
    <t>ספרה לכל שנה:</t>
  </si>
  <si>
    <t>הוצאות פחת לכל שנה על פי הספרות וחלקיהן:</t>
  </si>
  <si>
    <t xml:space="preserve">(550,000 - 90,000) * (10 * 10/12)/55 = </t>
  </si>
  <si>
    <t xml:space="preserve">(550,000 - 90,000) * ((10 * 2/12)+ (9 * 10/12))/55 = </t>
  </si>
  <si>
    <t xml:space="preserve">(550,000 - 90,000) * ((9 * 2/12)+ (8 * 10/12))/55 = </t>
  </si>
  <si>
    <t>הרצאה 8 - המשך רכוש קבוע - והנחיות למידה</t>
  </si>
  <si>
    <t>מטרתנו:</t>
  </si>
  <si>
    <t>לסגור קומפלט את נושא הרכוש הקבוע.</t>
  </si>
  <si>
    <t>לידיעה:</t>
  </si>
  <si>
    <t xml:space="preserve">רכוש קבוע יופיע בבחינה גם כשאלה נפרדת, וגם כחלק משאלה גדולה לגבי עריכת דיווחים. </t>
  </si>
  <si>
    <t xml:space="preserve">לפני זה צריך לשלוט באופן מוחלט ברכוש קבוע, גם במדידה, גם בשיטות השונות, גם בטיפול במכירה (וגם - </t>
  </si>
  <si>
    <t xml:space="preserve">נושא שנדגיש יותר היום - פקודות יומן קשורות). </t>
  </si>
  <si>
    <t>תרגול:</t>
  </si>
  <si>
    <t>מעבר לתרגילים הניתנים מטעם המתרגלים, במערך שיעור 7 (הקודם - מ-10.12) תמצאו בתחתיתו שאלות רבות</t>
  </si>
  <si>
    <t>ומגוונות בנושא רכוש קבוע בשיטות שונות עם פתרונות מפורטים וכולל התייחסות לפקודות יומן.</t>
  </si>
  <si>
    <t xml:space="preserve">שאלות אלו אינן להגשה, אבל רשמו לעצמכן להתמודד עמן ולפתור אותן - כמה שאפשר כעת (עדיף), ואם לא - </t>
  </si>
  <si>
    <t xml:space="preserve">לפחות לפני המבחן. </t>
  </si>
  <si>
    <t>שאלה 1 - רכוש קבוע - שיטות שונות, מדידה ופקודות יומן</t>
  </si>
  <si>
    <t>בחברת ״נקניקי העמקים״ בע״מ ידועים שקיימים פריטי הרכוש הקבוע הבאים:</t>
  </si>
  <si>
    <t>פריט</t>
  </si>
  <si>
    <t>תאריך רכישה</t>
  </si>
  <si>
    <t>שיטת הפחתה</t>
  </si>
  <si>
    <t>שנות פחת</t>
  </si>
  <si>
    <t>מכונת נקניק</t>
  </si>
  <si>
    <t>Macbook</t>
  </si>
  <si>
    <t>iPhone</t>
  </si>
  <si>
    <t xml:space="preserve">כל פריטי הרכוש הקבוע זמינים לשימוש ממועד רכישתם. </t>
  </si>
  <si>
    <t xml:space="preserve">א. חשבו את הוצאות הפחת בגין הפריטים לשנת 2024 (בגין כל פריט בנפרד, וסך הכל הוצאות פחת ברווח והפסד). </t>
  </si>
  <si>
    <t xml:space="preserve">ב. חשבו את הסכום שבו יוצגו הפריטים כרכוש קבוע בדוח על המצב הכספי ליום 31.12.2024. </t>
  </si>
  <si>
    <t xml:space="preserve">ג. הניחו כעת האייפון נמכר ב-1.5.2025 בתמורה שהובילה לרישום רווח הון בסכום של 1,500 ש״ח. </t>
  </si>
  <si>
    <t xml:space="preserve">רשמו פקודות יומן עבור שנת 2025 בגין כל הפריטים, והציגו את הוצאות הפחת ואת ערכי הרכוש הקבוע </t>
  </si>
  <si>
    <t xml:space="preserve">בדוח על המצב הכספי ליום 31.12.2025. </t>
  </si>
  <si>
    <t>העתקת נתונים לשם נוחות:</t>
  </si>
  <si>
    <t>הוצאות פחת - מכונת נקניק, 2024:</t>
  </si>
  <si>
    <t xml:space="preserve">(400,000 - 50,000)/10 = </t>
  </si>
  <si>
    <t>הוצאות פחת - Macbook, שנת 2024:</t>
  </si>
  <si>
    <t xml:space="preserve">(30,000 - 10,000)/7 = </t>
  </si>
  <si>
    <t>הוצאות פחת - iPhone, שנת 2024:</t>
  </si>
  <si>
    <t>לגבי אייפון:</t>
  </si>
  <si>
    <t>סכום הספרות:</t>
  </si>
  <si>
    <t>n * (n + 1)/2 =</t>
  </si>
  <si>
    <t>כאשר n הוא שנות הפחת</t>
  </si>
  <si>
    <t xml:space="preserve">בנוסף צריך לזהות מהי הספרה / הספרות הרלוונטיות לשנת 2024. </t>
  </si>
  <si>
    <t>1.11.2023 - 1.11.2024</t>
  </si>
  <si>
    <t>1.11.2024 - 1.11.2025</t>
  </si>
  <si>
    <t xml:space="preserve">(10,000 - 1,000) * (10/12 * 5 + 2/12 * 4) / 15 = </t>
  </si>
  <si>
    <t>נפתח את הביטוי:</t>
  </si>
  <si>
    <t>סכום אוטומטי</t>
  </si>
  <si>
    <r>
      <t>(10,000 - 1,000)*(10/12 * 5 + 2/12 * 4)/</t>
    </r>
    <r>
      <rPr>
        <sz val="12"/>
        <color rgb="FFFF0000"/>
        <rFont val="David"/>
        <family val="2"/>
        <charset val="177"/>
      </rPr>
      <t>15</t>
    </r>
    <r>
      <rPr>
        <sz val="12"/>
        <color theme="1"/>
        <rFont val="David"/>
        <family val="2"/>
        <charset val="177"/>
      </rPr>
      <t xml:space="preserve"> = </t>
    </r>
  </si>
  <si>
    <r>
      <t xml:space="preserve">5 * 6 / 2 = </t>
    </r>
    <r>
      <rPr>
        <sz val="12"/>
        <color rgb="FFFF0000"/>
        <rFont val="David"/>
        <family val="2"/>
        <charset val="177"/>
      </rPr>
      <t>15</t>
    </r>
  </si>
  <si>
    <r>
      <t xml:space="preserve">בין התאריכים 1.1.2024 - 1.11.2024 הספרה היא </t>
    </r>
    <r>
      <rPr>
        <b/>
        <sz val="12"/>
        <color theme="1"/>
        <rFont val="David"/>
        <family val="2"/>
        <charset val="177"/>
      </rPr>
      <t>5</t>
    </r>
    <r>
      <rPr>
        <sz val="12"/>
        <color theme="1"/>
        <rFont val="David"/>
        <family val="2"/>
        <charset val="177"/>
      </rPr>
      <t>: 10 חודשים</t>
    </r>
  </si>
  <si>
    <r>
      <t xml:space="preserve">הספרה הראשונה היא </t>
    </r>
    <r>
      <rPr>
        <b/>
        <u/>
        <sz val="12"/>
        <color theme="1"/>
        <rFont val="David"/>
        <family val="2"/>
        <charset val="177"/>
      </rPr>
      <t>5</t>
    </r>
    <r>
      <rPr>
        <u/>
        <sz val="12"/>
        <color theme="1"/>
        <rFont val="David"/>
        <family val="2"/>
        <charset val="177"/>
      </rPr>
      <t xml:space="preserve"> (אורך החיים)</t>
    </r>
    <r>
      <rPr>
        <sz val="12"/>
        <color theme="1"/>
        <rFont val="David"/>
        <family val="2"/>
        <charset val="177"/>
      </rPr>
      <t>:</t>
    </r>
  </si>
  <si>
    <r>
      <t>הספרה הבאה היא</t>
    </r>
    <r>
      <rPr>
        <b/>
        <sz val="12"/>
        <color theme="1"/>
        <rFont val="David"/>
        <family val="2"/>
        <charset val="177"/>
      </rPr>
      <t xml:space="preserve"> 4</t>
    </r>
    <r>
      <rPr>
        <sz val="12"/>
        <color theme="1"/>
        <rFont val="David"/>
        <family val="2"/>
        <charset val="177"/>
      </rPr>
      <t xml:space="preserve"> (ירידה ביחידה):</t>
    </r>
  </si>
  <si>
    <r>
      <t xml:space="preserve">בין התאריכים 1.11.2024 - 31.12.2024 הספרה היא </t>
    </r>
    <r>
      <rPr>
        <b/>
        <sz val="12"/>
        <color theme="1"/>
        <rFont val="David"/>
        <family val="2"/>
        <charset val="177"/>
      </rPr>
      <t>4</t>
    </r>
    <r>
      <rPr>
        <sz val="12"/>
        <color theme="1"/>
        <rFont val="David"/>
        <family val="2"/>
        <charset val="177"/>
      </rPr>
      <t>: חודשיים (2 חודשים)</t>
    </r>
  </si>
  <si>
    <t>הוצאות פחת - רווח והפסד - 2024:</t>
  </si>
  <si>
    <t>ביקשו גם את סך כל הוצאות הפחת לשנה זו</t>
  </si>
  <si>
    <t xml:space="preserve">סיכום - </t>
  </si>
  <si>
    <t xml:space="preserve">בשונה מהשאלה הקודמת, שבה נדרשתי לחשב הוצאות פחת בלבד לשנה מסויימת בלבד (מ-1.1.2024 - 31.12.2024), </t>
  </si>
  <si>
    <t>כעת המטרה היא לחשב ערך ספרים / עלות מופחתת - שתוצג במאזן: עלינו לקחת את העלות של כל פריט, ולנכות</t>
  </si>
  <si>
    <r>
      <t xml:space="preserve">ממנה את </t>
    </r>
    <r>
      <rPr>
        <b/>
        <sz val="12"/>
        <color theme="1"/>
        <rFont val="David"/>
        <family val="2"/>
        <charset val="177"/>
      </rPr>
      <t>הפחת הנצבר למועד זה</t>
    </r>
    <r>
      <rPr>
        <sz val="12"/>
        <color theme="1"/>
        <rFont val="David"/>
        <family val="2"/>
        <charset val="177"/>
      </rPr>
      <t xml:space="preserve">. </t>
    </r>
  </si>
  <si>
    <t>מה ההבדל בין הפחת הנצבר ל-31.12.2024 להוצאות פחת לשנת 2024?</t>
  </si>
  <si>
    <t>פחת נצבר לוקח בחשבון לא רק את השנה המסוימת, אלא את כל הפחת שנוצר גם בשנים הקודמות.</t>
  </si>
  <si>
    <t>מכונת</t>
  </si>
  <si>
    <t>נקניק</t>
  </si>
  <si>
    <t>Mac</t>
  </si>
  <si>
    <t>Book</t>
  </si>
  <si>
    <t>i</t>
  </si>
  <si>
    <t>Phone</t>
  </si>
  <si>
    <t>סך הכל</t>
  </si>
  <si>
    <t>ל-31/12/2024:</t>
  </si>
  <si>
    <t>פחת נצבר מכונת נקניק:</t>
  </si>
  <si>
    <t xml:space="preserve">(400,000 - 50,000)/10 * 5 = </t>
  </si>
  <si>
    <t>כאשר:</t>
  </si>
  <si>
    <t>מספר השנים שחלפו (נצברו) ממועד הזמינות לשימוש 1.1.2020 עד למועד הדיווח 31.12.2024</t>
  </si>
  <si>
    <t>פחת נצבר מקבוק:</t>
  </si>
  <si>
    <t xml:space="preserve">(30,000 - 10,000)/7 * (2 + 3/12) = </t>
  </si>
  <si>
    <t>שנות הפחתה</t>
  </si>
  <si>
    <t>(2 + 3/12)</t>
  </si>
  <si>
    <t>מספר השנים (והחודשים) ממועד הזמינות לשימוש 1.10.2022 עד למועד הדיווח 31.12.2024 = שנתיים ו-3 חודשים</t>
  </si>
  <si>
    <t>פחת נצבר אייפון:</t>
  </si>
  <si>
    <t xml:space="preserve">(10,000 - 1,000) * (5 + 4*2/12) / 15 = </t>
  </si>
  <si>
    <t>סכום הספרות - שמחושב כזכור תמיד לפי תקופת ההפחתה (5) כפול תקופת ההפחתה פלוס 1 (6) חלקי 2:</t>
  </si>
  <si>
    <t>n * (n + 1) / 2 = 5 * 6 / 12 = 15</t>
  </si>
  <si>
    <t>הספרה הראשונה בסכום ספרות היא זו ששייכת לשנת החיים הראשונה של הנכס.</t>
  </si>
  <si>
    <t>הפריט מופחת החל מ-1.11.2023 - הספרה 5 (אורך החיים) משרתת את כל התקופה מ-1.11.2023 - 1.11.2024</t>
  </si>
  <si>
    <t>הספרה השניה בסכום ספרות. היא שייכת לשנת החיים השניה של הנכס.</t>
  </si>
  <si>
    <t xml:space="preserve">ספרה זו מתחילה ב-1.11.2024. אני רוצה את החלק מהספרה שיהיה רלוונטי עד ליום 31.12.2024. </t>
  </si>
  <si>
    <t>4 * 2/12</t>
  </si>
  <si>
    <t>לכן, מתוך הספרה 4 אני זקוק לחודשיים מתוך 12. לכן המכפלה ב -2/12</t>
  </si>
  <si>
    <t>תזכורת: פחת נצבר מביא בחשבון תמיד את כל התקופה ממועד הזמינות לשימוש עד מועד הדיווח.</t>
  </si>
  <si>
    <t xml:space="preserve">לכן, הפחת הנצבר שחושב פה משקף את כל התקופה 1.11.2023 עד 31.12.2024, ולא רק את שנת 2024. </t>
  </si>
  <si>
    <r>
      <t xml:space="preserve">רשמו פקודות יומן עבור שנת 2025 בגין כל הפריטים, </t>
    </r>
    <r>
      <rPr>
        <b/>
        <sz val="12"/>
        <color theme="1"/>
        <rFont val="David"/>
        <family val="2"/>
        <charset val="177"/>
      </rPr>
      <t>והציגו את הוצאות הפחת ואת ערכי הרכוש הקבוע</t>
    </r>
    <r>
      <rPr>
        <sz val="12"/>
        <color theme="1"/>
        <rFont val="David"/>
        <family val="2"/>
        <charset val="177"/>
      </rPr>
      <t xml:space="preserve"> </t>
    </r>
  </si>
  <si>
    <t>נתחיל דווקא מרישום הנתונים לשנת 2025 בגין כל הפריטים:</t>
  </si>
  <si>
    <t>דוחות כספיים ליום 31.12.2025</t>
  </si>
  <si>
    <t>כל פריט רכוש קבוע שנמכר - ערכו כנכס (עלות ופחת נצבר)</t>
  </si>
  <si>
    <t xml:space="preserve">מתאפס לאחר מכירתו. </t>
  </si>
  <si>
    <t>נתון שהאייפון נמכר ב-1.5.2025, ולכן בדוחות לתום 2025</t>
  </si>
  <si>
    <t>יוצג כ-0.</t>
  </si>
  <si>
    <t xml:space="preserve">למרות שהאייפון נמכר, הוצאות הפחת בגינו כן רשומות - אבל רק עד מכירתו. </t>
  </si>
  <si>
    <t xml:space="preserve">במלים אחרות, הוצאות הפחת בגין אייפון ב-2025 צריכות להירשם מ-1.1.2025 עד המכירה 1.5.2025 (4 חודשים). </t>
  </si>
  <si>
    <t xml:space="preserve">(10,000 - 1,000) * (4 * 4/12)/15 = </t>
  </si>
  <si>
    <t>בשנת 2025, בטווח 1.1 - 1.5 שהוא 4 חודשים,  הספרה היחידה הרלוונטית היא 4 (ראו בטבלה):</t>
  </si>
  <si>
    <r>
      <rPr>
        <u/>
        <sz val="12"/>
        <color theme="1"/>
        <rFont val="David"/>
        <family val="2"/>
        <charset val="177"/>
      </rPr>
      <t>הוצאות</t>
    </r>
    <r>
      <rPr>
        <sz val="12"/>
        <color theme="1"/>
        <rFont val="David"/>
        <family val="2"/>
        <charset val="177"/>
      </rPr>
      <t xml:space="preserve"> פחת אייפון:</t>
    </r>
  </si>
  <si>
    <r>
      <t xml:space="preserve">רווח הון - </t>
    </r>
    <r>
      <rPr>
        <b/>
        <sz val="12"/>
        <color theme="1"/>
        <rFont val="David"/>
        <family val="2"/>
        <charset val="177"/>
      </rPr>
      <t>נתון</t>
    </r>
  </si>
  <si>
    <t>הואיל והמטרה היא לרשום פקודות יומן, יש לי נתון נוסף שחסר לי:</t>
  </si>
  <si>
    <t xml:space="preserve">הואיל ונרשם שהאייפון נמכר, עלינו לדעת מהי תמורת מכירתו כדי לתעד בפקודות את המכירה ״כמו שצריך״. </t>
  </si>
  <si>
    <t>כדי לחלץ את תמורת המכירה, נשען על ההגדרה של רווח הון:</t>
  </si>
  <si>
    <t>תמורת המכירה - לא נתונה</t>
  </si>
  <si>
    <t>X</t>
  </si>
  <si>
    <t>בניכוי ערך ספרים ערב המכירה</t>
  </si>
  <si>
    <t>שווה לרווח הון - נתון</t>
  </si>
  <si>
    <t>איך נדע מה ערך הספרים (עלות בניכוי פחת נצבר אייפון) ערב מכירתו - 1.5.2025:</t>
  </si>
  <si>
    <t>פחת נצבר 1.11.2023 - 1.5.2025</t>
  </si>
  <si>
    <t xml:space="preserve">(10,000 - 1,000) * (5 + 4 * 6/12) / 15 = </t>
  </si>
  <si>
    <t>נחלץ:</t>
  </si>
  <si>
    <r>
      <t xml:space="preserve">X - 5,800 - 1,500 &gt;&gt;&gt;&gt; </t>
    </r>
    <r>
      <rPr>
        <b/>
        <sz val="12"/>
        <color theme="1"/>
        <rFont val="David"/>
        <family val="2"/>
        <charset val="177"/>
      </rPr>
      <t>X = 7,300</t>
    </r>
  </si>
  <si>
    <t>פקודות יומן בגין רכוש קבוע - 2025:</t>
  </si>
  <si>
    <t>ז׳ פחת נצבר מכונת נקניק</t>
  </si>
  <si>
    <t>ז׳ פחת נצבר מקבוק</t>
  </si>
  <si>
    <t>ז׳ פחת נצבר אייפון</t>
  </si>
  <si>
    <t>רישום הוצאות פחת:</t>
  </si>
  <si>
    <t>רישום המכירה:</t>
  </si>
  <si>
    <t>לפי הסכום המהווה את תמורת המכירה</t>
  </si>
  <si>
    <t xml:space="preserve">ז׳ פריט רכוש קבוע </t>
  </si>
  <si>
    <t>לפי עלותו</t>
  </si>
  <si>
    <t>ח׳ פחת נצבר רכוש קבוע</t>
  </si>
  <si>
    <t>לפי הפחת הנצבר ערב המכירה</t>
  </si>
  <si>
    <t>ח׳ הפסד הון / ז׳ רווח הון</t>
  </si>
  <si>
    <t>לפי הנתון / החישוב</t>
  </si>
  <si>
    <t>תבנית:</t>
  </si>
  <si>
    <t>תמורת מכירת אייפון: 7,300</t>
  </si>
  <si>
    <t>ז׳ אייפון (עלות)</t>
  </si>
  <si>
    <t>ח׳ פחת נצבר אייפון</t>
  </si>
  <si>
    <t>ז׳ רווח הון</t>
  </si>
  <si>
    <t>שאלה ממבחן - רכוש קבוע - סמסטר 2025א, מועד א</t>
  </si>
  <si>
    <t>פתרון חלק א</t>
  </si>
  <si>
    <t>הוצאות פחת 2024:</t>
  </si>
  <si>
    <t>הוצאות פחת 2025:</t>
  </si>
  <si>
    <t xml:space="preserve">(350,000 - 50,000)/10 * (8/12) = </t>
  </si>
  <si>
    <t xml:space="preserve">(350,000 - 50,000)/10 = </t>
  </si>
  <si>
    <t>ערך ספרים הוא העלות המופחתת, עלות בניכוי פחת נצבר.</t>
  </si>
  <si>
    <t>רווח / הפסד ההון הוא ההפרש בין התמורה לערך הספרים ערב המכירה.</t>
  </si>
  <si>
    <t>ערך הספרים - חושב ב-ב</t>
  </si>
  <si>
    <t>הפרש שלילי = הפסד הון</t>
  </si>
  <si>
    <t>פתרון חלק ב</t>
  </si>
  <si>
    <t>עלות הפריט לצרכים חשבונאיים:</t>
  </si>
  <si>
    <t>עלות רכישה ראשונית (ללא תלות מתי שולמה):</t>
  </si>
  <si>
    <t>בתוספת עלות התקנה:</t>
  </si>
  <si>
    <t>סך העלות של הפריט</t>
  </si>
  <si>
    <t>גרט / שייר:</t>
  </si>
  <si>
    <t>נתון: העלות המופחתת (שהיא ערך הספרים או בעצם עלות בניכוי</t>
  </si>
  <si>
    <t>פחת נצבר) ליום 31.12.2021:</t>
  </si>
  <si>
    <t>נדרש:מהי העלות המופחתת (עלות בניכוי פחת נצבר) לשנה שאחרי,</t>
  </si>
  <si>
    <t>כלומר ליום 31.12.2022?</t>
  </si>
  <si>
    <t>הגודל היחידי שחסר לי כדי להשלים את הפתרון בקלות הוא תקופת</t>
  </si>
  <si>
    <t>ההפחתה (n). לצערי, תקופת ההפחתה לא נתונה.</t>
  </si>
  <si>
    <t>נתונה: עלות בניכוי</t>
  </si>
  <si>
    <t>פחת נצבר ל-31.12.2021</t>
  </si>
  <si>
    <t>עלות כוללת - חושבה לעיל</t>
  </si>
  <si>
    <t>בקו ישר:</t>
  </si>
  <si>
    <t>בניכוי גרט 10,000</t>
  </si>
  <si>
    <t>חלקי תקופת הפחתה לא ידועה n</t>
  </si>
  <si>
    <r>
      <t xml:space="preserve">בניכוי </t>
    </r>
    <r>
      <rPr>
        <u/>
        <sz val="12"/>
        <color theme="1"/>
        <rFont val="David"/>
        <family val="2"/>
        <charset val="177"/>
      </rPr>
      <t>פחת נצבר</t>
    </r>
    <r>
      <rPr>
        <sz val="12"/>
        <color theme="1"/>
        <rFont val="David"/>
        <family val="2"/>
        <charset val="177"/>
      </rPr>
      <t>:</t>
    </r>
  </si>
  <si>
    <r>
      <rPr>
        <u/>
        <sz val="12"/>
        <color theme="1"/>
        <rFont val="David"/>
        <family val="2"/>
        <charset val="177"/>
      </rPr>
      <t>פחת לשנה</t>
    </r>
    <r>
      <rPr>
        <sz val="12"/>
        <color theme="1"/>
        <rFont val="David"/>
        <family val="2"/>
        <charset val="177"/>
      </rPr>
      <t xml:space="preserve"> - עלות 165,000</t>
    </r>
  </si>
  <si>
    <t>כפול</t>
  </si>
  <si>
    <t>שנים שחלפו מהזמינות לשימוש 1.3.2020</t>
  </si>
  <si>
    <t>עד מועד הדיווח 31.12.2021</t>
  </si>
  <si>
    <t>שנה ו-10 חודשים</t>
  </si>
  <si>
    <t>165,000       -          (165,000 - 10,000)/n * (1 + 10/12)      =       136,583</t>
  </si>
  <si>
    <t xml:space="preserve"> 165,000 - 136,583 = (165,000 - 10,000)/n * (1 + 10/12)</t>
  </si>
  <si>
    <t>28,417 = 155,000/n * (1 + 10/12)</t>
  </si>
  <si>
    <t>28,417/(1 + 10/12) = 155,000/n</t>
  </si>
  <si>
    <t>15,500 = 155,000/n</t>
  </si>
  <si>
    <t>פיתוח:</t>
  </si>
  <si>
    <t>העברתי אגף את ה-136,583</t>
  </si>
  <si>
    <t>ואז קיבלתי:</t>
  </si>
  <si>
    <t>חילקתי את שני האגפים ב-1 פלוס 10/12</t>
  </si>
  <si>
    <t>וקיבלתי:</t>
  </si>
  <si>
    <t>מפה מחלצים:</t>
  </si>
  <si>
    <t xml:space="preserve">תקופת ההפחתה 10 שנים. </t>
  </si>
  <si>
    <t>כעת, כשתקופת ההפחתה ידועה, לחשב עלות מופחתת אחרי שנה זה קל:</t>
  </si>
  <si>
    <t>נדרש</t>
  </si>
  <si>
    <t xml:space="preserve">28,417 + (165,000 - 10,000)/10 = </t>
  </si>
  <si>
    <t>תשובה</t>
  </si>
  <si>
    <t>סופית</t>
  </si>
  <si>
    <t>מה זה הביטוי הזה?</t>
  </si>
  <si>
    <t>הוא מייצג את העובדה</t>
  </si>
  <si>
    <t>שהפחת הנצבר לתום 2022</t>
  </si>
  <si>
    <t>הוא למעשה הפחת</t>
  </si>
  <si>
    <t>הנצבר לתום 2021 - 28,417</t>
  </si>
  <si>
    <t>בתוספת פחת לשנה אחת</t>
  </si>
  <si>
    <t>שהיא 2022.</t>
  </si>
  <si>
    <t>לסיכום ועם פרצוף קדימה:</t>
  </si>
  <si>
    <t xml:space="preserve">נשאר לנו עוד נושא ״גדול״ אחד - שהוא הדוח על השינוים בהון העצמי, שייסקר בשיעור הבא - שיעור 9. </t>
  </si>
  <si>
    <t xml:space="preserve">החל משיעור 10 ועד סוף הסמסטר - אנחנו לא נוגעים יותר בשאלות קטנות יפה שלי. </t>
  </si>
  <si>
    <t xml:space="preserve">אלא רק מציגים ופותרים שאלות מסה ענקיות, שמשלבות דוחות כספיים עם כל הסוגיות שהוצגו. </t>
  </si>
  <si>
    <t>שאלה 3 - רכוש קבוע - שיטות שונות, מדידה ופקודות יומן</t>
  </si>
  <si>
    <t>בחברת ״ביאן ואחותה״ בע״מ ידועים שקיימים פריטי הרכוש הקבוע הבאים:</t>
  </si>
  <si>
    <t>מרצדס</t>
  </si>
  <si>
    <t>שולחן</t>
  </si>
  <si>
    <t>מכונת הנקניק והמרצדס היו זמינות לשימוש מיד במועד רכישתן, אך הכשרת השולחן לשימוש התמשכה חודש אחד.</t>
  </si>
  <si>
    <t xml:space="preserve">א. מהן הוצאות הפחת בחברה לשנת 2024. הדרכה: חשבו הוצאות בגין כל פריט בנפרד לשנה זו, וסכמו אותן. </t>
  </si>
  <si>
    <t xml:space="preserve">ג. השולחן נמכר ב-1.4.2026 בתמורה ל-16,000 ש״ח. </t>
  </si>
  <si>
    <t xml:space="preserve">רשמו פקודות יומן עבור שנת 2026 בגין כל הפריטים, והציגו את הוצאות הפחת ואת ערכי הרכוש הקבוע </t>
  </si>
  <si>
    <t xml:space="preserve">בדוח על המצב הכספי ליום 31.12.2026. </t>
  </si>
  <si>
    <t>פתרון מפורט:</t>
  </si>
  <si>
    <t xml:space="preserve">בשלב זה, איננו עוסקים בשילוב רכוש קבוע בדיווחים מלאים, נגיע לשם במפגשים האחרונים. </t>
  </si>
  <si>
    <t>תרגילים עם פתרונות מלאים לקבוצת 9:15</t>
  </si>
  <si>
    <t>תרגילים עם פתרונות מלאים לקבוצת 12:15</t>
  </si>
  <si>
    <t>הוצאות פחת - מרצדס, 2024:</t>
  </si>
  <si>
    <t>הוצאות פחת - שולחן, 2024:</t>
  </si>
  <si>
    <t>סך הוצאות הפחת - דוח רווח והפסד, 2024:</t>
  </si>
  <si>
    <t xml:space="preserve">(400,000 - 50,000)/10 * (10/12) = </t>
  </si>
  <si>
    <t xml:space="preserve">(800,000 - 150,000)/8 = </t>
  </si>
  <si>
    <t>הוצאות פחת - שולחן:</t>
  </si>
  <si>
    <t xml:space="preserve">הואיל ומופחת לפי סכום ספרות, חייבים לחשב בתור התחלה ערך מספרי שנקרא ״סכום ספרות״. </t>
  </si>
  <si>
    <t>ערך זה מחושב לפי נוסחה:</t>
  </si>
  <si>
    <t xml:space="preserve">n * (n + 1)/2 = 7 * (7 + 1)/2 = </t>
  </si>
  <si>
    <t>תזכורת: ההגדרה של n לטובת נוסחת סכום הספרות - היא תקופת ההפחתה של הנכס.</t>
  </si>
  <si>
    <t xml:space="preserve">בנוסף, יש לבחון מהי הספרה / הספרות הרלוונטיות לשנה הנדונה - 2024. </t>
  </si>
  <si>
    <r>
      <t>תזכורת: השו</t>
    </r>
    <r>
      <rPr>
        <u/>
        <sz val="12"/>
        <color theme="1"/>
        <rFont val="David"/>
        <family val="2"/>
        <charset val="177"/>
      </rPr>
      <t>לחן זמין לשימוש רק חודש אחרי רכישתו. כלומר מ-1.10.2022 מתחילה הפחתת השולחן.</t>
    </r>
  </si>
  <si>
    <t>לשנה הראשונה - הספרה היא אורך חיי הנכס n</t>
  </si>
  <si>
    <t>בכל שנה לאחר מכן - יורדים ביחידה אחת</t>
  </si>
  <si>
    <t>וכן הלאה.</t>
  </si>
  <si>
    <t xml:space="preserve">אני רוצה הוצאות פחת רק לשנת 2024: מ-1.1.2024, עד 31.12.2024. זהו. </t>
  </si>
  <si>
    <t>הספרה ש״בתוקף״ מ-1.1.2024 עד 1.10.2024 (9 חודשים)</t>
  </si>
  <si>
    <t>הספרה ש״בתוקף״ מ-1.10.2024 עד 31.12.2024 (3 חודשים)</t>
  </si>
  <si>
    <t>הדרך לחשב את הוצאות הפחת:</t>
  </si>
  <si>
    <t>לוקחים את העלות, מנכים ממנה את ערך השייר / הגרט, וכופלים ביחס בין הספרה או הספרות המתאימות</t>
  </si>
  <si>
    <t xml:space="preserve">לבין סכום הספרות. </t>
  </si>
  <si>
    <t xml:space="preserve">(30,000 - 5,000) * (6 * 9/12 + 5 * 3/12) / 28 = </t>
  </si>
  <si>
    <t>שייר / גרט</t>
  </si>
  <si>
    <t>6 * 9/12</t>
  </si>
  <si>
    <t>הספרה 6 היא הספרה שבתוקף מ-1.1.2024 עד 1.10.2024 [ראו טבלה לעיל] - כלומר ל-9 חודשים, ולכן המכפלה ב-9/12</t>
  </si>
  <si>
    <t>5 * 3/12</t>
  </si>
  <si>
    <t>הספרה 5 היא הספרה שבתוקף מ-1.10.2024 עד 31.12.2024 [ראו טבלה לעיל] - כלומר 3 חודשים, ולכן המכפלה ב-3/12</t>
  </si>
  <si>
    <t>סכום הספרות שחישבנו למעלה</t>
  </si>
  <si>
    <t>ראו הסבר מפורט למטה</t>
  </si>
  <si>
    <t>ב. מה הסכום שיוצג בסעיף ה״רכוש הקבוע״ בדוחות הכספיים ליום 31.12.2025? הדרכה: הציגו עלות ופחת נצבר בגין כל פריט למועד זה.</t>
  </si>
  <si>
    <t>ערכי הנכסים ל-31.12.2025</t>
  </si>
  <si>
    <t>פחת נצבר נקניק:</t>
  </si>
  <si>
    <t>פחת לשנה:</t>
  </si>
  <si>
    <t>(400,000 - 50,000)/10</t>
  </si>
  <si>
    <t>והואיל ורוצים פחת נצבר, כפלנו ערך זה בפרק הזמן ממועד הזמינות לשימוש 1.3.2024 עד מועד הדיווח 31.12.2025: שנה ו-10 חודשים.</t>
  </si>
  <si>
    <t>לכן הביטוי המלא לחישוב הפחת הנצבר בגין הנקניק היה:</t>
  </si>
  <si>
    <t>(400,000 - 50,000)/10 * (1 + 10/12)</t>
  </si>
  <si>
    <t>פחת נצבר מרצדס:</t>
  </si>
  <si>
    <t>(800,000 - 150,000)/8</t>
  </si>
  <si>
    <t xml:space="preserve">שנים שחלפו בטווח הנדרש - מ- 1.10.2021 (זמינות לשימוש) עד התאריך שלנו 31.12.2025: 4 שנים ו-3 חודשים. </t>
  </si>
  <si>
    <t>לכן הביטוי המלא:</t>
  </si>
  <si>
    <t>(800,000 - 150,000)/8 * (4 + 3/12)</t>
  </si>
  <si>
    <t>פחת נצבר שולחן:</t>
  </si>
  <si>
    <t xml:space="preserve">סכום ספרות: 28 (חישבנו לעיל). </t>
  </si>
  <si>
    <t xml:space="preserve">הואיל ואני מעוניין בפחת נצבר ולא בהוצאות פחת, אני צריך את כל הספרות שחלפו מאז שהפריט זמין לשימוש - 1.10.2022, </t>
  </si>
  <si>
    <t xml:space="preserve">עד למועד הדיווח - 31.12.2025. </t>
  </si>
  <si>
    <t>חלפה מלא</t>
  </si>
  <si>
    <t>רק 3 חודשים: כי עוצרים ב-31.12.2025</t>
  </si>
  <si>
    <t xml:space="preserve">(30,000 - 5,000) * (7 + 6 + 5 + 4 * 3/12)/28  = </t>
  </si>
  <si>
    <t>(7 + 6 + 5 + 4 * 3/12)</t>
  </si>
  <si>
    <t xml:space="preserve">כל הספרות שחלפו (במצטבר, כי זה פחת נצבר) ממועד הזמינות לשימוש עד מועד הדיווח. </t>
  </si>
  <si>
    <t>סכום ספרות, חושב לעיל</t>
  </si>
  <si>
    <t>נכון ליום 31.12.2026</t>
  </si>
  <si>
    <r>
      <t xml:space="preserve">רשמו פקודות יומן עבור שנת 2026 בגין כל הפריטים, והציגו את הוצאות הפחת ואת </t>
    </r>
    <r>
      <rPr>
        <u/>
        <sz val="12"/>
        <color theme="1"/>
        <rFont val="David"/>
        <family val="2"/>
        <charset val="177"/>
      </rPr>
      <t>ערכי הרכוש הקבוע</t>
    </r>
    <r>
      <rPr>
        <sz val="12"/>
        <color theme="1"/>
        <rFont val="David"/>
        <family val="2"/>
        <charset val="177"/>
      </rPr>
      <t xml:space="preserve"> </t>
    </r>
  </si>
  <si>
    <t>בשנה שבה נמכר פריט רכוש קבוע,</t>
  </si>
  <si>
    <t>הוא תמיד ידווח כנכס (מבחינת</t>
  </si>
  <si>
    <t>עלות, פחת נצבר וערך ספרים)</t>
  </si>
  <si>
    <t>כ-0.</t>
  </si>
  <si>
    <t>הסבר נוסף - הוצאות פחת בגין שולחן, 2026:</t>
  </si>
  <si>
    <t xml:space="preserve">זהירות - השולחן נמכר ב-1.4.2026. לכן, בשנה זו, תוכרנה הוצאות פחת מ-1.1.2026 עד 1.4.2026, </t>
  </si>
  <si>
    <t xml:space="preserve">כלומר בגין 3 חודשים בלבד. </t>
  </si>
  <si>
    <t>לשם הוצאות פחת ב-2026, נתבסס על הספרה</t>
  </si>
  <si>
    <t>אבל רק עבור 1.1.2026 - 1.4.2026 (מכירה), 3 חודשים</t>
  </si>
  <si>
    <t xml:space="preserve">עלות: 30,000; גרט: 5,000; סכום ספרות: 28. </t>
  </si>
  <si>
    <t xml:space="preserve">(30,000 - 5,000) * (4 * 3/12) / 28 =  </t>
  </si>
  <si>
    <t>הסבר נוסף - חישוב רווח הון בגין מכירת שולחן, 2026:</t>
  </si>
  <si>
    <t xml:space="preserve">כאשר פריט רכוש קבוע נמכר, עלינו לחשב רווח הון / הפסד הון. </t>
  </si>
  <si>
    <t xml:space="preserve">הוא מחושב לפי ההפרש בין תמורת המכירה לבין ערך הספרים (עלות פחות פחת נצבר) ערב המכירה. </t>
  </si>
  <si>
    <t>לכן, בתור התחלה, נחשב את ערך הספרים רגע לפני שמכרתי - 1.4.2026:</t>
  </si>
  <si>
    <t xml:space="preserve">(30,000 - 5,000) * (7 + 6 + 5 + 4 * 6/12)/28 = </t>
  </si>
  <si>
    <t>הסבר לפחת הנצבר:</t>
  </si>
  <si>
    <t>(7 + 6 + 5 + 4 * 6/12)</t>
  </si>
  <si>
    <t>הואיל ונדרש פחת נצבר (לא הוצאות פחת) לוקחים את כל הספרות שחלפו במלואן עד כה: 7, 6, 5, וגם את הספרה 4</t>
  </si>
  <si>
    <t>שהזמן שחלף בגינה הוא מ-1.10.2025 עד 1.4.2026 כלומר חצי שנה.</t>
  </si>
  <si>
    <t>לפי ההגדרה, נחשב כעת את ההפרש בין התמורה הנתונה לערך הספרים הנ״ל:</t>
  </si>
  <si>
    <t>תמורה-נתונה</t>
  </si>
  <si>
    <t xml:space="preserve">כאשר ההפרש בין תמורת המכירה לערך הספרים חיובי, מדובר ברווח הון. </t>
  </si>
  <si>
    <t xml:space="preserve">פקודות היומן ברכוש קבוע הן פשוטות יחסית, למעט פקודת יומן במכירה לביטוי רווח / הפסד הון. </t>
  </si>
  <si>
    <t>פקודת יומן לרכישת רכוש קבוע (לא רלוונטי פה, שיהיה):</t>
  </si>
  <si>
    <t>ח׳ פריט רכוש קבוע ________</t>
  </si>
  <si>
    <t>ז׳ מזומן (אם שילמנו) או זכות ספקים (אם טרם שילמנו) ______</t>
  </si>
  <si>
    <t>פקודת יומן למתן ביטוי להוצאות פחת</t>
  </si>
  <si>
    <t>ז׳ פחת נצבר - פריט א</t>
  </si>
  <si>
    <t>ז׳ פחת נצבר - פריט ב</t>
  </si>
  <si>
    <t>ז׳ פחת נצבר - פריט ג</t>
  </si>
  <si>
    <t>יישום:</t>
  </si>
  <si>
    <t>ז׳ פחת נצבר נקניק</t>
  </si>
  <si>
    <t>ז׳ פחת נצבר מרצדס</t>
  </si>
  <si>
    <t>ז׳ פחת נצבר שולחן</t>
  </si>
  <si>
    <t>פקודות יומן - שנת 2026:</t>
  </si>
  <si>
    <t>פקודת יומן למכירת רכוש קבוע</t>
  </si>
  <si>
    <t>ז׳ פריט רכוש קבוע (עלות)</t>
  </si>
  <si>
    <t>ח׳ פחת נצבר פריט רכוש קבוע</t>
  </si>
  <si>
    <t>ז׳ רווח הון (או ח׳ הפסד הון)</t>
  </si>
  <si>
    <t>ח׳ מזומן - נתון</t>
  </si>
  <si>
    <t>ז׳ שולחן (עלות) - נתון</t>
  </si>
  <si>
    <t>חושב ערב המכירה 1.4.2026, ראו לעיל</t>
  </si>
  <si>
    <t>חושב בשלב המכירה, ראו לעיל</t>
  </si>
  <si>
    <t>ח׳ פחת נצבר שולחן</t>
  </si>
  <si>
    <t>שאלה ממבחן - 2025א, מועד ב</t>
  </si>
  <si>
    <t>פתרון סעיפים א ו-ב: הוצאות פחת, וערך ספרים לכל אחת מהשנים 2024-2026:</t>
  </si>
  <si>
    <t>פתרון סעיף ג: חישוב רווח / הפסד הון</t>
  </si>
  <si>
    <t xml:space="preserve">תחילה, נחשב ערך ספרים (עלות בניכוי פחת נצבר) ערב המכירה - ל-1.7.2027. </t>
  </si>
  <si>
    <t>תזכורת: עלות 470,000, גרט 80,000, תקופת הפחתה 5 שנים, זמינות 1.10.2024.</t>
  </si>
  <si>
    <t xml:space="preserve">(470,000 - 80,000)/5 * (2 + 9/12) = </t>
  </si>
  <si>
    <t>ההפרש בין תמורת המכירה הנתונה בסך 172,000 לבין ערך הספרים = רווח הון / הפסד הון:</t>
  </si>
  <si>
    <t>רישום הרכישה</t>
  </si>
  <si>
    <t>ח׳ מכונת נקניק</t>
  </si>
  <si>
    <t>רישום הוצאות פחת</t>
  </si>
  <si>
    <t>ז׳ פחנ״צ (קיטון בנכס)</t>
  </si>
  <si>
    <t>ז׳ פחנ״צ</t>
  </si>
  <si>
    <t>רישום הוצאות הפחת - עד המכירה, חצי שנה</t>
  </si>
  <si>
    <t>רישום מלא של פקודת המכירה</t>
  </si>
  <si>
    <t>ח׳ מזומן לפי התמורה</t>
  </si>
  <si>
    <t>הרחבה לבקשת יובל - פקודות יומן לכל השנים - יובל ביקש את כל השנים כולל שנת המכירה 2027:</t>
  </si>
  <si>
    <t>ז׳ מכונת נקניק (עלות)</t>
  </si>
  <si>
    <t>ח׳ פחנ״צ</t>
  </si>
  <si>
    <t>כאשר רושמים פחת נצבר, מקטינים נכס, ורושמים בזכות - כמו שהיה בכל השנים הקודמות</t>
  </si>
  <si>
    <t>כאשר מאפסים פחת נצבר, זו תופעה הפוכה - ורושמים בחובה</t>
  </si>
  <si>
    <t>תדריך:</t>
  </si>
  <si>
    <t>כדי לחשב את הוצאות הפחת בשיטת סכום ספרות נפעל כך:</t>
  </si>
  <si>
    <t>סכום הספרות עצמו:</t>
  </si>
  <si>
    <t>n * (n + 1)/2 = 5 * 6 / 2 = 15</t>
  </si>
  <si>
    <t>זכרו: n זו תקופת ההפחתה של הנכס - 5 שנים.</t>
  </si>
  <si>
    <t>המועד שבו מתחילים להפחית הוא מועד</t>
  </si>
  <si>
    <t xml:space="preserve">הזמינות לשימוש - כלומר 1.10.2020. </t>
  </si>
  <si>
    <t>הוצאות פחת - 2020:</t>
  </si>
  <si>
    <t xml:space="preserve">(10,000 - 25% * 10,000) * (5 * 3/12) / 15= </t>
  </si>
  <si>
    <t>הוצאות פחת - 2021:</t>
  </si>
  <si>
    <t xml:space="preserve">(10,000 - 25% * 10,000) * (5 * 9/12 + 4 * 3/12) / 15 = </t>
  </si>
  <si>
    <t>סעיף א</t>
  </si>
  <si>
    <t>סעיף ב</t>
  </si>
  <si>
    <t>סעיף ג:</t>
  </si>
  <si>
    <t>כדי לחשב את רווח / הפסד ההון, נתחיל מלחשב את ערך הספרים (עלות בניכוי פחת נצבר) ערב המכירה:</t>
  </si>
  <si>
    <t xml:space="preserve">(10,000 - 25% * 10,000) * (5 + 4 + 3) / 15 = </t>
  </si>
  <si>
    <t>תמורת המכירה:</t>
  </si>
  <si>
    <t>בניכוי ערך ספרים ערב המכירה:</t>
  </si>
  <si>
    <t>וכזכור - רווח ההון / הפסד ההון הוא ההפרש בין תמורת המכירה לבין ערך הספרים ערב המכירה שחושב לעיל:</t>
  </si>
  <si>
    <t>מפגשים 9  - אינטגרציה ועריכת דוחות כספיים חלק א</t>
  </si>
  <si>
    <t xml:space="preserve">ייתכנו שינויים קלים במבנה הבחינה: יחד עם זאת, המתואר להלן מייצג בהחלט. </t>
  </si>
  <si>
    <t xml:space="preserve">הבחינה מורכבת משני חלקים. חלקה הראשון עוסק בעריכת דוחות כספיים מלאים (עם תיקונים ואירועים), וחלקה השני - כולל שאלות </t>
  </si>
  <si>
    <t>שאלות לגבי דוחות כספיים יתאפשרו משני סוגים:</t>
  </si>
  <si>
    <t xml:space="preserve">א. שאלה לגבי עריכת מאזן ודוח רווח והפסד, כולל השפעות אירועים נוספים ופקודות יומן נוספות על הערכים בדיווח (בעיקר במפגש הבא). </t>
  </si>
  <si>
    <t xml:space="preserve">ב. שאלה לגבי הדוח המפרט רק בדבר השינויים בהון (מזה נתחיל היום). </t>
  </si>
  <si>
    <t>מעבר לזה - תהיינה גם שאלות קטנות בנושאים השונים - פקודות יומן, פקודות הכרה בהכנסות ובהוצאות כולל התאמות, לקוחות, רכוש קבוע...</t>
  </si>
  <si>
    <t>הדוח על השינויים בהון העצמי</t>
  </si>
  <si>
    <t xml:space="preserve">אנחנו כבר יודעים שההון העצמי הוא כנראה אחד הרכיבים הכי מורכבים בדוחות. </t>
  </si>
  <si>
    <t xml:space="preserve">הכוונה היא שנכסים קל לנו להגדיר. </t>
  </si>
  <si>
    <t>התחייבויות - קל לנו לזהות.</t>
  </si>
  <si>
    <t>הון עצמי תמיד היה ״יותר בעייתי״. מדוע? כי ההגדרה שלו היא ״שיורית״.</t>
  </si>
  <si>
    <t xml:space="preserve">הון עצמי הוא: מקורות המימון שאינם התחייבותיים. </t>
  </si>
  <si>
    <t>אלא שכשרוצים להבין טוב יותר מעבר ל״טכניקה״ או ״חישוב במשוואה של זה פחות זה״ - עדיין נרצה לדעת מה בדיוק נכלל ברכיבי ההון העצמי,</t>
  </si>
  <si>
    <t xml:space="preserve">ומאילו עסקאות הוא מושפע. </t>
  </si>
  <si>
    <t xml:space="preserve">בקצרה: ההון העצמי הוא חשוב (מדד לחוסן פיננסי), לכן קיים דוח נוסף שמתמקד אך ורק באירועים ונתונים שמשפיעים עליו. </t>
  </si>
  <si>
    <t xml:space="preserve">הדוח הזה נקרא ״הדוח על השינויים בהון העצמי״ והיום נלמד איך בונים אותו. </t>
  </si>
  <si>
    <t xml:space="preserve">כדי לתאר למשקיע את השינויים בהון, נדאג להציג בדוח הרלוונטי טבלה. </t>
  </si>
  <si>
    <t xml:space="preserve">כל שורה בטבלה תתאר אירוע מסויים שיש לו השפעה על ההון העצמי. </t>
  </si>
  <si>
    <t xml:space="preserve">כל עמודה בטבלה תייצג סעיף מסויים בהון העצמי. </t>
  </si>
  <si>
    <t>אירוע</t>
  </si>
  <si>
    <t xml:space="preserve">במידה והחברה הוקמה ״השנה״ - אין ״יתרות פתיחה״. כלומר מתחילים את הטבלה מהאירועים של השנה. </t>
  </si>
  <si>
    <t>הנפקת מניות 3 ש״ח ערך נקוב</t>
  </si>
  <si>
    <t>בעקבות ההנפקה, עלינו לתעד עלייה כוללת בהון העצמי בהתאם לתמורת ההנפקה נטו = התמורה בניכוי עלויות ההנפקה: 370,000 = 30,000 - 400,000</t>
  </si>
  <si>
    <t>הון מניות
3 ש״ח ערך 
נקוב</t>
  </si>
  <si>
    <t>הון המניות בגין ההנפקה = מכפלה של מספר המניות בערך הנקוב של המניות שהונפקו. הוא מייצג את מספר זכויות הבעלות בחברה.</t>
  </si>
  <si>
    <t>אם חברה הנפיקה מניות בערך נקוב כולל של 150,000 זה אומר שאם ברצוני להיות בעלים של 10% מהחברה - עליי לקנות מניות בערך נקוב 15,000 = 150,000 * 10%</t>
  </si>
  <si>
    <t>בקצרה: הון מניות = ערך נקוב = זכויות בעלות</t>
  </si>
  <si>
    <t>סך ההון העצמי = תמורת ההנפקה = כמה המשקיעים חושבים שהחברה שווה</t>
  </si>
  <si>
    <t>את ההפרש בין תמורת ההנפקה לבין הון המניות רושמים בסעיף שנקרא פרמיה.</t>
  </si>
  <si>
    <t>הנפקת מניות 1 ש״ח ערך נקוב</t>
  </si>
  <si>
    <t>הון מניות
1 ש״ח ערך 
נקוב</t>
  </si>
  <si>
    <r>
      <rPr>
        <b/>
        <u/>
        <sz val="12"/>
        <color theme="1"/>
        <rFont val="David"/>
        <family val="2"/>
        <charset val="177"/>
      </rPr>
      <t>הנפקת מניות 3 ש״ח ערך נקוב</t>
    </r>
    <r>
      <rPr>
        <sz val="12"/>
        <color theme="1"/>
        <rFont val="David"/>
        <family val="2"/>
        <charset val="177"/>
      </rPr>
      <t xml:space="preserve"> = החברה מעניקה למשקיעים מניות (בעלות) על החברה ובתמורה מקבלת כסף (תמורת הנפקה). </t>
    </r>
  </si>
  <si>
    <r>
      <rPr>
        <b/>
        <u/>
        <sz val="12"/>
        <color theme="1"/>
        <rFont val="David"/>
        <family val="2"/>
        <charset val="177"/>
      </rPr>
      <t>הנפקת מניות 1 ש״ח ערך נקוב</t>
    </r>
    <r>
      <rPr>
        <sz val="12"/>
        <color theme="1"/>
        <rFont val="David"/>
        <family val="2"/>
        <charset val="177"/>
      </rPr>
      <t xml:space="preserve"> - נייצר עמודה נפרדת (כי הערך הנקוב למניה שונה) .</t>
    </r>
  </si>
  <si>
    <t>הון מניות = מס׳ מניות 70,000 כפול ערך נקוב למניה 1 ש״ח = 70,000</t>
  </si>
  <si>
    <t>סה״כ = תמורת הנפקה = 98,000 (תמורה ברוטו) בניכוי 3,000 (עלויות הנפקה נתונות) = 95,000</t>
  </si>
  <si>
    <t>ההפרש בין תמורת ההנפקה לערך הנקוב (הון המניות) = פרמיה: 25,000 = 70,000 - 95,000</t>
  </si>
  <si>
    <t>פיצול מניות</t>
  </si>
  <si>
    <t>פיצול מניות:</t>
  </si>
  <si>
    <t xml:space="preserve">פיצול מניות משמעו - כל המחזיק במניה גדולה (כאן - 3 ש״ח ערך נקוב) מקבל במקומה 3 מניות בנות 1 ש״ח ערך נקוב. </t>
  </si>
  <si>
    <t>מניה בת 3 ש״ח</t>
  </si>
  <si>
    <t>ערך נקוב</t>
  </si>
  <si>
    <t>מניה 1 ש״ח</t>
  </si>
  <si>
    <t>פיצול</t>
  </si>
  <si>
    <t>מן הסתם הערך הנקוב לא משתנה. הוא רק ״עובר צד״:</t>
  </si>
  <si>
    <t xml:space="preserve">את הערך בעמודת המניות הגדולות (3 ש״ח ערך נקוב) יש לאפס. </t>
  </si>
  <si>
    <t>את הערך בעמודת המניות הקטנות (1 ש״ח ערך נקוב) יש להגדיל באותו סכום.</t>
  </si>
  <si>
    <t xml:space="preserve">סך ההון העצמי לא משתנה בעקבות הפיצול (אין כניסה של כסף חדש). </t>
  </si>
  <si>
    <t>הנפקת מניות הטבה</t>
  </si>
  <si>
    <t>הנפקת מניות הטבה:</t>
  </si>
  <si>
    <t>כאשר מבוצעת הנפקת מניות הטבה, מוגדר תהליך במסגרתו בעלי המניות הקיימים לאותה נקודת זמן זוכים להנפקת מניות נוספת ללא תמורה מצדם.</t>
  </si>
  <si>
    <t xml:space="preserve">הואיל ומדובר בהנפקה ללא תמורה, סך השינוי בהון העצמי כתוצאה מהנפקת הטבה תמיד 0. </t>
  </si>
  <si>
    <t>כדי לחשב את ההשפעה על הון המניות, עלינו לסכום ולבדוק כמה הון מניות קיים מכל סוג ערב ההטבה.</t>
  </si>
  <si>
    <t>בשאלה עצמה, הון המניות היחיד שעדיין קיים ערב ההטבה, זה הון מניות רגילות בנות 1 ש״ח ערך נקוב:</t>
  </si>
  <si>
    <t xml:space="preserve">70,000 + 150,000 = </t>
  </si>
  <si>
    <t>שיעור ההטבה שהנו 10% מהערך הנקוב הקיים למועד זה, מוביל להנפקת הטבה = עלייה בהון המניות:</t>
  </si>
  <si>
    <t xml:space="preserve">10% * 220,000 = </t>
  </si>
  <si>
    <t>בנוסף לעלייה בהון המניות, הנפקת ההטבה גם מקטינה את הפרמיה בסכום זהה.</t>
  </si>
  <si>
    <t>עודפים 
יתרת רווח</t>
  </si>
  <si>
    <t>דיבידנד שהוכרז</t>
  </si>
  <si>
    <t>יתרות לדיווח - 31.12.2020</t>
  </si>
  <si>
    <t>רווח נקי:</t>
  </si>
  <si>
    <t>יתועד בעמודת העודפים (יתרת רווח) וכן בסה״כ הון עצמי בסימן חיובי.</t>
  </si>
  <si>
    <t>אם היה הפסד נקי - היה מתועד בעודפים ובסה״כ ההון העצמי בסימן שלילי.</t>
  </si>
  <si>
    <t>דיבידנד:</t>
  </si>
  <si>
    <t>במועד שבו הוכרז דיבידנד (גם אם טרם שולם בפועל) יש להקטין את העודפים ואת ההון העצמי בסכומו של הדיבידנד.</t>
  </si>
  <si>
    <t>יש לשים לב לכך שהסכום ששולם בפועל לא רלוונטי לקביעה - בכמה ההון העצמי קטן;</t>
  </si>
  <si>
    <t>זאת משום שחשבונאות לא עובדת על בסיס מזומן - אלא על בסיס התרחשות האירוע.</t>
  </si>
  <si>
    <t>האירוע = ההכרזה, המועד שבו החברה התחייבה לחלק את הדיבידנד, ובו יבוצע התיעוד, לא אירוע התשלום עצמו.</t>
  </si>
  <si>
    <t>הון מניות 4</t>
  </si>
  <si>
    <t>הון מניות 2</t>
  </si>
  <si>
    <t>הנפקת מניות</t>
  </si>
  <si>
    <t>לפי ערך נקוב</t>
  </si>
  <si>
    <t>הפרש
תמורה
בניכוי
ערך נקוב</t>
  </si>
  <si>
    <t>לאפס (להקטין)
את הון המניות
הגדולות</t>
  </si>
  <si>
    <t>להגדיל
בסכום זהה
את הון 
המניות
הקטנות</t>
  </si>
  <si>
    <t>הנפקת הטבה</t>
  </si>
  <si>
    <t>כופלים 
את הערך
הנקוב
הקיים
בשיעור ההטבה</t>
  </si>
  <si>
    <t>הפרש שלילי:
תמורה 0
בניכוי
ערך נקוב
שהונפק
בהטבה</t>
  </si>
  <si>
    <t>רווח נקי / הפסד נקי</t>
  </si>
  <si>
    <t>רווח נקי +
הפסד נקי (-)</t>
  </si>
  <si>
    <t>דיבידנד שהוכרז (ממש לא אכפת לי מתי שולם)</t>
  </si>
  <si>
    <t>ירידה
בעודפים (-)</t>
  </si>
  <si>
    <t>סה״כ לדיווח</t>
  </si>
  <si>
    <t>לפי התמורה נטו 
- בניכוי עלויות 
הנפקה</t>
  </si>
  <si>
    <t>הנפקת מניות 4 ש״ח ערך נקוב</t>
  </si>
  <si>
    <t>הנפקת מניות 2 ש״ח ערך נקוב</t>
  </si>
  <si>
    <t>סה״כ לדיווח - יתרות ל-31.12.2022</t>
  </si>
  <si>
    <t>מבוא בסיסי לחלק העיקרי של המבחן - 50% ממנו - שאלת מסה</t>
  </si>
  <si>
    <t>תרגיל דוגמא - שאלת מסה ברמה בסיסית (עדיין לא רמת בחינה אבל נתחיל ממשהו)</t>
  </si>
  <si>
    <t xml:space="preserve">התאריך. במבחן נוכל גם לדרוש רישום מלא של פקודות יומן, וגם חילוץ נתונים לפני עדכון. </t>
  </si>
  <si>
    <r>
      <t xml:space="preserve">הנחות </t>
    </r>
    <r>
      <rPr>
        <b/>
        <sz val="12"/>
        <rFont val="David"/>
        <family val="2"/>
        <charset val="177"/>
      </rPr>
      <t>מזומן</t>
    </r>
    <r>
      <rPr>
        <sz val="12"/>
        <rFont val="David"/>
        <family val="2"/>
        <charset val="177"/>
      </rPr>
      <t xml:space="preserve">
מספקים</t>
    </r>
  </si>
  <si>
    <r>
      <t xml:space="preserve">מכונות - 
פחת נצבר 
</t>
    </r>
    <r>
      <rPr>
        <b/>
        <sz val="12"/>
        <rFont val="David"/>
        <family val="2"/>
        <charset val="177"/>
      </rPr>
      <t>1.1</t>
    </r>
    <r>
      <rPr>
        <sz val="12"/>
        <rFont val="David"/>
        <family val="2"/>
        <charset val="177"/>
      </rPr>
      <t>.20</t>
    </r>
  </si>
  <si>
    <t>הדגמה קבוצת בוקר - אילו עסקאות ואירועים משפיעים על ההון העצמי, וכיצד בונים את הדוח על השינויים בהון העצמי - שאלה ברמת בחינה</t>
  </si>
  <si>
    <t>שאלה נוספת - קבוצת בוקר - בנושא הון עצמי - מועד ב</t>
  </si>
  <si>
    <t>קבוצת צהריים 12:15 - הדגמה 1 להון עצמי, הסברים ושינויים</t>
  </si>
  <si>
    <t xml:space="preserve">חברת סונסינו בע״מ הוקמה ב-1.1.2023. </t>
  </si>
  <si>
    <t>להלן נתונים בדבר עסקאות ואירועים שהתרחשו בחברה במהלך שנה זו:</t>
  </si>
  <si>
    <t>החברה הנפיקה 100,000 מניות בנות 2 ש״ח ערך נקוב כל אחת</t>
  </si>
  <si>
    <t>בתמורה ל-340,000 ש״ח. עלויות ההנפקה הסתכמו ב-15,000 ש״ח.</t>
  </si>
  <si>
    <t>החברה הנפיקה 85,000 מניות בנות 1 ש״ח ערך נקוב כל אחת,</t>
  </si>
  <si>
    <t>בתמורה ל-127,000 ש״ח. עלויות ההנפקה הסתכמו ב-7,000 ש״ח.</t>
  </si>
  <si>
    <t>בוצע פיצול מניות: כך שכל המחזיק במניה בת 2 ש״ח ערך נקוב,</t>
  </si>
  <si>
    <t>קיבל במקומה 2 מניות בנות 1 ש״ח ערך נקוב.</t>
  </si>
  <si>
    <t xml:space="preserve">הונפקו מניות הטבה בשיעור של 20% כנגד הפרמיה. </t>
  </si>
  <si>
    <t>הרווח הנקי בחברה לשנת 2023 הסתכם ב-500,000 ש״ח.</t>
  </si>
  <si>
    <t>החברה הכריזה דיבידנד בסכום של 180,000 ש״ח. מתוכו חילקה ושילמה</t>
  </si>
  <si>
    <t xml:space="preserve">נדרש: הציגו את הדוח על השינויים בהון העצמי לשנת 2023. </t>
  </si>
  <si>
    <t>הדוח על השינויים בהון העצמי מפרט את ההשפעה של כל עסקה הונית על הרכיבים של ההון העצמי.</t>
  </si>
  <si>
    <t>כל עסקה ״פותחת שורה״ חדשה לתיעוד בדוח על השינויים בהון העצמי.</t>
  </si>
  <si>
    <t>המטרה היא לבדוק איזה סוג / סעיף של הון עצמי משתנה בכל אירוע - לפי ההגדרות המתאימות.</t>
  </si>
  <si>
    <t xml:space="preserve">   הנפקת מניות בתמורה למזומן / נכסים</t>
  </si>
  <si>
    <t xml:space="preserve">     פיצול מניות</t>
  </si>
  <si>
    <t xml:space="preserve">      הנפקת הטבה</t>
  </si>
  <si>
    <t xml:space="preserve">           רווח / הפסד נקי</t>
  </si>
  <si>
    <t>לבעלי המניות 25,000 ש״ח,היתרה תשולם לבעלי המניות בשנה הבאה.</t>
  </si>
  <si>
    <t xml:space="preserve">      הכרזת דיבידנד</t>
  </si>
  <si>
    <t>הון מניות
2 ש״ח</t>
  </si>
  <si>
    <t>סה״כ (סך השינוי בהון העצמי):</t>
  </si>
  <si>
    <t xml:space="preserve">נקבע לפי תמורת ההנפקה נטו (תמורת הנפקה בניכוי עלויות הנפקה). </t>
  </si>
  <si>
    <t>כאן, בהנפקה של 1/1/2023, נתון:</t>
  </si>
  <si>
    <t>תמורת הנפקה נתונה</t>
  </si>
  <si>
    <t>בניכוי עלויות הנפקה</t>
  </si>
  <si>
    <t>סה״כ שינוי בהון בעסקה זו</t>
  </si>
  <si>
    <t>השינוי בהון המניות - לפי הערך הנקוב של המניות שהונפקו:</t>
  </si>
  <si>
    <t>נקבע לפי מכפלת מס׳ המניות המונפקות בערך הנקוב למניה.</t>
  </si>
  <si>
    <t>כאן, בהנפקה של 1/1/2023 נתון:</t>
  </si>
  <si>
    <t>מס׳ המניות שהונפקו</t>
  </si>
  <si>
    <t>ערך נקוב למניה</t>
  </si>
  <si>
    <t>סך הון המניות</t>
  </si>
  <si>
    <t>כאשר מונפקות מניות, בתמורה לנכסים (למשל בתמורה למזומן) נפעל באופן הבא:</t>
  </si>
  <si>
    <t>השינוי בפרמיה - ההפרש בין תמורת ההנפקה נטו (סה״כ) לבין הון המניות:</t>
  </si>
  <si>
    <t>כאן, בהנפקה של 1/1/2023, ראינו ש:</t>
  </si>
  <si>
    <t>תמורת ההנפקה נטו</t>
  </si>
  <si>
    <t>הון המניות</t>
  </si>
  <si>
    <t>הון מניות
1 ש״ח</t>
  </si>
  <si>
    <t>כאן, בהנפקה של 1/3/2023, נתון:</t>
  </si>
  <si>
    <t>כאן, בהנפקה של 1/3/2023 נתון:</t>
  </si>
  <si>
    <t>כאן, בהנפקה של 1/3/2023, ראינו ש:</t>
  </si>
  <si>
    <t>כאשר מבוצע פיצול מניות נטפל בו באופן הבא:</t>
  </si>
  <si>
    <t>איפוס סעיף הון המניות שמפצלים:</t>
  </si>
  <si>
    <t xml:space="preserve">כאן: ב-1/4/2023 היה הון מניות 2 ש״ח ערך נקוב בסך 200,000 ש״ח שאותו מפצלים ל-1 ש״ח. </t>
  </si>
  <si>
    <t>לכן איפסתי את הון המניות 2 ש״ח ערך נקוב (הפחתתי 200,000 ממנו).</t>
  </si>
  <si>
    <t>רושמים סכום זהה, בסימן חיובי - במניות ״היעד״:</t>
  </si>
  <si>
    <t xml:space="preserve">מפצלים כאן כל מניה של 2 ש״ח למניית ״יעד״ של 1 ש״ח. </t>
  </si>
  <si>
    <t>לכן את הסכום שאיפסנו (בסימן שלילי - 200,000) מהון מניות 2 ש״ח,</t>
  </si>
  <si>
    <t>נרשום בסימן חיובי בהון מניות 1 ש״ח.</t>
  </si>
  <si>
    <t>סה״כ הון עצמי:</t>
  </si>
  <si>
    <t xml:space="preserve">ללא שינוי כתוצאה מהעסקה (0). </t>
  </si>
  <si>
    <t>מחשבים את הון המניות שקיים טרם ההטבה:</t>
  </si>
  <si>
    <t>במקרה שלנו, לפני ההטבה קיימות מניות רגילות 1 ש״ח בלבד, שערכן הנקוב: 285,000 = 85,000 + 200,000</t>
  </si>
  <si>
    <t>מגדילים את הון המניות שזכאי להטבה - לפי שיעור ההטבה:</t>
  </si>
  <si>
    <t>כופלים את אחוז ההטבה (כאן: 20%) בערך הנקוב של המניות הקיימות: 285,000</t>
  </si>
  <si>
    <t>ערך נקוב מניות זכאיות להטבה</t>
  </si>
  <si>
    <t>שיעור ההטבה</t>
  </si>
  <si>
    <t>עלייה בהון המניות</t>
  </si>
  <si>
    <t xml:space="preserve">285,000 * 20% = </t>
  </si>
  <si>
    <t>הואיל והנפקת מניות הטבה היא ללא תמורה, אין שינוי בהון העצמי כתוצאה מהאירוע.</t>
  </si>
  <si>
    <t>מקטינים את הפרמיה בהתאם לעלייה בהון המניות:</t>
  </si>
  <si>
    <t>דיבידנד</t>
  </si>
  <si>
    <t>עודפים
יתרת רווח</t>
  </si>
  <si>
    <t>יתרות לדיווח</t>
  </si>
  <si>
    <t>תמיד מגדיל את העודפים ואת סך ההון באותו סכום.</t>
  </si>
  <si>
    <t>הערה: הפסד נקי מקטין את העודפים וההון באותו הסכום.</t>
  </si>
  <si>
    <t xml:space="preserve">מקטין את העודפים ואת סך ההון בסכום שהוכרז, ללא תלות בסכום ששולם בפועל. </t>
  </si>
  <si>
    <t>דיבינד:</t>
  </si>
  <si>
    <t>תבנית עבודה מקוצרת</t>
  </si>
  <si>
    <t>החברה הנפיקה 90,000 מניות בנות 4 ש״ח ערך נקוב כל אחת</t>
  </si>
  <si>
    <t>בתמורה ל-770,000 ש״ח. עלויות ההנפקה הסתכמו ב-24,000 ש״ח.</t>
  </si>
  <si>
    <t>החברה הנפיקה 90,000 מניות בנות 2 ש״ח ערך נקוב כל אחת,</t>
  </si>
  <si>
    <t>בתמורה ל-250,000 ש״ח. עלויות ההנפקה הסתכמו ב-13,000 ש״ח.</t>
  </si>
  <si>
    <t>שייקה נקניקים בע״מ הוקמה ב-1.1.2023 והיא עוסקת בייצור נקניק סופר זול. להלן נתוני אירועי ההון בחברה:</t>
  </si>
  <si>
    <t>בוצע פיצול מניות: כך שכל המחזיק במניה בת 4 ש״ח ערך נקוב,</t>
  </si>
  <si>
    <t>קיבל במקומה 2 מניות בנות 2 ש״ח ערך נקוב.</t>
  </si>
  <si>
    <t xml:space="preserve">הונפקו מניות הטבה בשיעור של 10% כנגד הפרמיה. </t>
  </si>
  <si>
    <t>הרווח הנקי בחברה לשנת 2023 הסתכם ב-780,000 ש״ח.</t>
  </si>
  <si>
    <t>החברה הכריזה דיבידנד בסכום של 44,000 ש״ח. מתוכו חילקה ושילמה</t>
  </si>
  <si>
    <t>לבעלי המניות 11,000 ש״ח,היתרה תשולם לבעלי המניות בשנה הבאה.</t>
  </si>
  <si>
    <t>קבוצת צהריים 12:15 - הדגמה 2 להון עצמי, הכיתה פותרת לבד</t>
  </si>
  <si>
    <t>הנפקת מניות 4 ש״ח</t>
  </si>
  <si>
    <t>הנפקת מניות 2 ש״ח</t>
  </si>
  <si>
    <r>
      <t xml:space="preserve">עודפים </t>
    </r>
    <r>
      <rPr>
        <b/>
        <sz val="12"/>
        <rFont val="David"/>
        <family val="2"/>
        <charset val="177"/>
      </rPr>
      <t>1.1</t>
    </r>
  </si>
  <si>
    <t>מפגש 10 - פתרון שאלת מסה שלמה</t>
  </si>
  <si>
    <t>הנחה מסחרית שקיבלתי: קיטון בהוצאות; הנחת מזומן שקיבלתי = הכנסת מימון</t>
  </si>
  <si>
    <t>זכרו: המלאי לתום השנה מהווה נכס וגם מקטין הוצאות</t>
  </si>
  <si>
    <t>את העודפים ל-1.1 תמיד נחלץ ״בסוף״ - לפי משוואה</t>
  </si>
  <si>
    <t>בשנת 2021 = נצרכו כל הוצאות התקשורת מראש</t>
  </si>
  <si>
    <t>בעצם: הנכס של הוצאות תקשורת מראש ל-1.1</t>
  </si>
  <si>
    <t xml:space="preserve">שסכומו בשאלה 30 אלפי ש״ח - </t>
  </si>
  <si>
    <t>נצרך ויש להפוך אותו להוצאה.</t>
  </si>
  <si>
    <t>כאשר אני מנצל נכס של הוצאות מראש, עליי</t>
  </si>
  <si>
    <t>להכיר בהוצאה ולהקטין את הנכס.</t>
  </si>
  <si>
    <t>פקודה:</t>
  </si>
  <si>
    <t xml:space="preserve">חובה הוצאות תקשורת </t>
  </si>
  <si>
    <t>זכות הוצאות תקשורת מראש</t>
  </si>
  <si>
    <t>ירידה בנכס</t>
  </si>
  <si>
    <t>לפני עדכון</t>
  </si>
  <si>
    <t>אחרי עדכון</t>
  </si>
  <si>
    <t>הרחבה:</t>
  </si>
  <si>
    <t>בנתונים הנוספים, הדבר יעיד על הצורך ברישום הוצאות פחת</t>
  </si>
  <si>
    <t xml:space="preserve">ועדכון הפחת הנצבר בהתאם (לשנה הספציפית). </t>
  </si>
  <si>
    <t>גם כאן מדובר בסעיף רכוש קבוע.</t>
  </si>
  <si>
    <t>בתור התחלה חייבים לרשום הוצאות פחת</t>
  </si>
  <si>
    <t>ולעדכן את הפחת הנצבר.</t>
  </si>
  <si>
    <t>אם הפריט גם נמכר, הטיפול במכירה יבוצע</t>
  </si>
  <si>
    <t>רק לאחר מכן.</t>
  </si>
  <si>
    <t>לאחר</t>
  </si>
  <si>
    <t>פחנ״צ 1.1</t>
  </si>
  <si>
    <t>לפני</t>
  </si>
  <si>
    <t>עדכון פקודה</t>
  </si>
  <si>
    <t>זו</t>
  </si>
  <si>
    <t>הם היו 1.5 בגין הטלפונים</t>
  </si>
  <si>
    <t>פחת מחשבים</t>
  </si>
  <si>
    <t>השפעת</t>
  </si>
  <si>
    <t>העדכון</t>
  </si>
  <si>
    <t>תמורת המכירה - לא נתונה - חילצתי</t>
  </si>
  <si>
    <t xml:space="preserve">עדכון </t>
  </si>
  <si>
    <t>לאחר עדכון</t>
  </si>
  <si>
    <t>פחנ״צ מחשב</t>
  </si>
  <si>
    <t>ריבית לקבל</t>
  </si>
  <si>
    <t>עדכון</t>
  </si>
  <si>
    <t>הדוח על המצב הכספי (מאזן) - ל-31.12.2021</t>
  </si>
  <si>
    <t>דוח רווח והפסד לשנת 2021</t>
  </si>
  <si>
    <t>מלאי...</t>
  </si>
  <si>
    <t>.</t>
  </si>
  <si>
    <t>עודפים 1.1 + רווח השנה</t>
  </si>
  <si>
    <t>הוצאות מראש והכנסות לקבל = נכסים</t>
  </si>
  <si>
    <r>
      <rPr>
        <b/>
        <sz val="12"/>
        <color theme="1"/>
        <rFont val="David"/>
        <family val="2"/>
        <charset val="177"/>
      </rPr>
      <t>טיפ קצר וחשוב</t>
    </r>
    <r>
      <rPr>
        <sz val="12"/>
        <color theme="1"/>
        <rFont val="David"/>
        <family val="2"/>
        <charset val="177"/>
      </rPr>
      <t>: תמיד כשאתקל בסעיף רכוש קבוע כלשהו</t>
    </r>
  </si>
  <si>
    <t>חשבון חדש!!! לא הופיע בטבלה המקורית, פותחים שורה חדשה &gt;&gt;&gt; בהוצאות</t>
  </si>
  <si>
    <t>חשבון חדש!!! לא הופיע בטבלה המקורית, פותחים שורה חדשה &gt;&gt;&gt; בנכסים במינוס</t>
  </si>
  <si>
    <t>נתונה בטבלה למעלה</t>
  </si>
  <si>
    <t>ערך גרט - נתון:</t>
  </si>
  <si>
    <t>אורך חיים בשנים - קו ישר - נתון:</t>
  </si>
  <si>
    <t>הפריט שהה בחברה שנה שלמה (כל 2021) - כי נמכר רק ב-31.12:</t>
  </si>
  <si>
    <t>חדש!!! (הכנסות)</t>
  </si>
  <si>
    <t>חדש!!! (נכס)</t>
  </si>
  <si>
    <t>מפגש 11 - שאלה מבחינה אמיתית - 2025א - שאלת מסה</t>
  </si>
  <si>
    <t>הוצאות לשלם ל-31.12.2024</t>
  </si>
  <si>
    <t>הוצאות שכר דירה</t>
  </si>
  <si>
    <t>הוצאות שכר ומשכורות</t>
  </si>
  <si>
    <t>הוצאות תפעול</t>
  </si>
  <si>
    <t>הכנסות מראש 1.1</t>
  </si>
  <si>
    <t>הלח״מ 1.1</t>
  </si>
  <si>
    <t>מחשבים - פחת נצבר 1.1</t>
  </si>
  <si>
    <t>מכונות - פחת נצבר 1.1</t>
  </si>
  <si>
    <t xml:space="preserve">פטנטים </t>
  </si>
  <si>
    <t>התייחסות לנתונים הנוספים לשם חילוץ ערכים ״לפני עדכון״:</t>
  </si>
  <si>
    <t>הערך החסר הראשון הוא הכנסות מראש ל-1.1. הנתון המתייחס לערך זה הוא:</t>
  </si>
  <si>
    <t>אנחנו בשנת 2024.</t>
  </si>
  <si>
    <t xml:space="preserve">מדובר פה בהסכם שנחתם ב-1.1.2023; בסכום כולל של 300 א׳ שהתקבלו במזומן מיד. </t>
  </si>
  <si>
    <t xml:space="preserve">השירות עצמו יסופק ללקוח ב-3 חלקים שווים: שווי השירות שיסופק בכל שנה הוא 100 א׳ ש״ח. </t>
  </si>
  <si>
    <t xml:space="preserve">כדי להבין מה יתרת ההכנסות מראש ל-1.1.2024 (הערך החסר) אני בעצם מחפש את יתרת ההכנסות מראש ל-31.12.2023. </t>
  </si>
  <si>
    <t>סך הסכום הכספי שהתקבל בגין העסקה בשנת 2023:</t>
  </si>
  <si>
    <t>סופק 1/3 (שנה מתוך 3) עד תום 2023:</t>
  </si>
  <si>
    <t>יתרת ההכנסות מראש ל-31.12.2023 = 1.1.2024:</t>
  </si>
  <si>
    <t>הערך החסר השני הוא יתרת ההלח״מ ל-1.1.2024:</t>
  </si>
  <si>
    <t>חילוצו יתבסס על נתון מס׳ 1:</t>
  </si>
  <si>
    <t>יתרת הלח״מ 1.1.2024 (נדרש) = יתרת ההלח״מ 31.12.2023</t>
  </si>
  <si>
    <t>יתרת ההלח״מ 1.1.2024</t>
  </si>
  <si>
    <t xml:space="preserve">5% * 250 = </t>
  </si>
  <si>
    <t xml:space="preserve">הערה: כדי לחלץ את יתרת ההלח״מ ל-1.1 אני צריך את הלקוחות ל-1.1 (או לתום שנה קודמת). </t>
  </si>
  <si>
    <t xml:space="preserve">לשם כך השתמשתי בנתון הלקוחות שמופיע במלל כאן. </t>
  </si>
  <si>
    <t>נתון הלקוחות בטבלה עצמה הוא לתום השנה הנוכחית (תום 2024) ולא ניתן להשתמש בו כדי</t>
  </si>
  <si>
    <t xml:space="preserve">להגיע להלח״מ לתחילת 2024. </t>
  </si>
  <si>
    <t>הערכים החסרים הבאים:</t>
  </si>
  <si>
    <t>עלות המחשבים (לתום השנה, כי אין לידם ציון של 1.1) ופחת נצבר מחשבים ל-1.1.</t>
  </si>
  <si>
    <t>עלות המחשבים לתום השנה:</t>
  </si>
  <si>
    <t>פחת נצבר 1.1.2024 = פחת נצבר 31.12.2023.</t>
  </si>
  <si>
    <t xml:space="preserve">לכן - בחישוב הפחת הנצבר לא נכלול מחשבים שנרכשו ב-2024. </t>
  </si>
  <si>
    <t>מתוך המחשבים בסך 70 אלפי ש״ח, רק מחשבים בסך 40 אלפי ש״ח נרכשו בשנים קודמות, ולכן ישפיעו</t>
  </si>
  <si>
    <t>על הפחת הנצבר לתחילת השנה:</t>
  </si>
  <si>
    <t>שיטת פחת - סס״י - 3 שנים ===&gt; סכום הספרות:</t>
  </si>
  <si>
    <t xml:space="preserve">n * (n + 1) / 2 = 3 * (3 + 1) / 2 = </t>
  </si>
  <si>
    <t>המחשבים נרכשו ב-30.9.2023, כלומר עד 31.12.2023 הופחתו במשך 3 חודשים:</t>
  </si>
  <si>
    <t>הספרה הראשונה היא 3 (אורך החיים) ואני צריך 3/12 ממנה:</t>
  </si>
  <si>
    <t xml:space="preserve">(40 - 0) * (3 * 3/12) / 6 = </t>
  </si>
  <si>
    <t>פחנ״צ מחשבים 1.1.2024</t>
  </si>
  <si>
    <t xml:space="preserve">העלות: 40, אין גרט (0), כופלים בספרה הראשונה (כי המחשב נרכש ב-2023 - 3) ובפרק הזמן מרכישתו 30.9 עד תום 2023 (3/12). </t>
  </si>
  <si>
    <t xml:space="preserve">את הכל מחלקים ב-6 סכום הספרות. </t>
  </si>
  <si>
    <t>מכונות - עלות 1.1</t>
  </si>
  <si>
    <t xml:space="preserve">הערך החסר הבא: עלות מכונות 1.1 ופחנ״צ מכונות 1.1.2024. </t>
  </si>
  <si>
    <t>הנתון שמטפל בכך הוא:</t>
  </si>
  <si>
    <t xml:space="preserve">כל המכונות הקיימות בחברה נרכשו כולן ב-1.1.2022 (מזמן). </t>
  </si>
  <si>
    <t>אין מכונות שנרכשו / נמכרו השנה.</t>
  </si>
  <si>
    <t>עלות מכונות 1.1</t>
  </si>
  <si>
    <t xml:space="preserve">250 * 4 = </t>
  </si>
  <si>
    <t xml:space="preserve">(1,000 - 0)/10 * 2 = </t>
  </si>
  <si>
    <t>פחת נצבר 1.1 (בגין 2022 ו-2023)</t>
  </si>
  <si>
    <t>הערך החסר הבא - מלאי ל-1.1</t>
  </si>
  <si>
    <t xml:space="preserve">המלאי שעלינו לשחזר ל-1.1.2024 הוא למעשה המלאי ל-31.12.2023. </t>
  </si>
  <si>
    <t>עלות המלאי ל-31.12.2023:</t>
  </si>
  <si>
    <t>שווי מימוש נטו ל-31.12.2023:</t>
  </si>
  <si>
    <t>המלאי נמדד לפי הנמוך:</t>
  </si>
  <si>
    <t>100 + X</t>
  </si>
  <si>
    <t>לשם חילוץ העודפים ל-1.1 נתבסס על המשוואה הבאה:</t>
  </si>
  <si>
    <t>נכסים = התחייבויות + הון 1.1 + רווח (הפסד) השנה (הכנסות בניכוי הוצאות)</t>
  </si>
  <si>
    <t>יתרת העודפים ל-1.1.2024 שסומנה X תחולץ בהתאם מהזהות:</t>
  </si>
  <si>
    <t>2,052.5 = 514 + 100 + X + (417 - 432)</t>
  </si>
  <si>
    <t>התייחסות לנתונים הנוספים לשם עדכון כל הערכים והטעויות:</t>
  </si>
  <si>
    <t>יתרת הלח״מ 1.1.2024</t>
  </si>
  <si>
    <t>חושבה לעיל</t>
  </si>
  <si>
    <t>יתרת הלח״מ 31.12.2024</t>
  </si>
  <si>
    <t>חוב אבוד (-)</t>
  </si>
  <si>
    <t>באופן כללי, ההשפעות על חשבון ההלח״מ כוללות: הלח״מ לתחילת שנה, בניכוי חוב אבוד, בתוספת הוצאות הלח״מ - כך מגיעים ליתרה לתום השנה.</t>
  </si>
  <si>
    <t>כאן - אין חוב אבוד</t>
  </si>
  <si>
    <t>הוצ׳ הלח״מ + מחולץ בסוף</t>
  </si>
  <si>
    <t>על פי הנתונים:</t>
  </si>
  <si>
    <t>לקוחות ל-31.12.2024</t>
  </si>
  <si>
    <t xml:space="preserve">75% * 400 * 10% + 25% * 400 * 5% = </t>
  </si>
  <si>
    <t>סך ההלח״מ 31.12.2024:</t>
  </si>
  <si>
    <r>
      <t xml:space="preserve">נתון </t>
    </r>
    <r>
      <rPr>
        <u/>
        <sz val="12"/>
        <color theme="1"/>
        <rFont val="David"/>
        <family val="2"/>
        <charset val="177"/>
      </rPr>
      <t>בטבלה</t>
    </r>
  </si>
  <si>
    <t>ראו חישוב למטה</t>
  </si>
  <si>
    <t>כדי לעדכן את הוצאות ההלח״מ של השנה נרשום את הפקודה הבאה:</t>
  </si>
  <si>
    <t>ח׳ הוצאות הלח״מ 22.5</t>
  </si>
  <si>
    <t>ז׳ הלח״מ 22.5</t>
  </si>
  <si>
    <t>עדכון יתרות:</t>
  </si>
  <si>
    <t>לפני השינוי</t>
  </si>
  <si>
    <t>שינוי</t>
  </si>
  <si>
    <t>ערך סופי</t>
  </si>
  <si>
    <t>הלח״מ - עדכון החשבון הקיים</t>
  </si>
  <si>
    <t>הוצ׳ הלח״מ - חשבון חדש!</t>
  </si>
  <si>
    <r>
      <t>הלח״מ</t>
    </r>
    <r>
      <rPr>
        <b/>
        <sz val="12"/>
        <color rgb="FFFF0000"/>
        <rFont val="David"/>
        <family val="2"/>
        <charset val="177"/>
      </rPr>
      <t xml:space="preserve"> 31.12</t>
    </r>
  </si>
  <si>
    <t>חדש!!! הוצאות הלח״מ</t>
  </si>
  <si>
    <t>יתרת הכנסות מראש ל-1.1.2024 (חילצנו קודם):</t>
  </si>
  <si>
    <t>יתרת הכנסות מראש ל-31.12.2024:</t>
  </si>
  <si>
    <t>השנה סיפקנו שירות נוסף בסך</t>
  </si>
  <si>
    <t xml:space="preserve">200 - 100 = </t>
  </si>
  <si>
    <t>פקודת היומן שמעניקה ביטוי למתן שירות נוסף (הכנסה) כנגד הכנסות מראש:</t>
  </si>
  <si>
    <t>כי נתון שכל העסקה 300, והיא מחולקת על פני 3 שנים בסך הכל</t>
  </si>
  <si>
    <t>הכנסות משירות - חדש!!!</t>
  </si>
  <si>
    <t>כאשר לתחילת השנה קיימת התחייבות בגין הכנסות מראש;</t>
  </si>
  <si>
    <t xml:space="preserve">אם במהלך השנה מספקים חלק מהשירות - יש להכיר בהכנסה ולהקטין את ההתחייבות בהתאם (באותו סכום). </t>
  </si>
  <si>
    <r>
      <t xml:space="preserve">הכנסות מראש </t>
    </r>
    <r>
      <rPr>
        <b/>
        <sz val="12"/>
        <color rgb="FFFF0000"/>
        <rFont val="David"/>
        <family val="2"/>
        <charset val="177"/>
      </rPr>
      <t>31.12</t>
    </r>
  </si>
  <si>
    <t>חדש!!! הכנסות משירות</t>
  </si>
  <si>
    <t xml:space="preserve">המלאי ל-31.12.2023 (1.1.2024 - תחילת השנה הנוכחית) כבר עודכן בשלב הקודם בסך 65. </t>
  </si>
  <si>
    <t xml:space="preserve">המטרה כעת היא לדאוג לרשום בנוסף - את המלאי העדכני לתום השנה. </t>
  </si>
  <si>
    <t xml:space="preserve">המלאי העדכני לתום השנה (מלאי סגירה) תמיד יירשם באופן נפרד לחלוטין ממלאי הפתיחה ל-1.1 (בשורות נפרדות). </t>
  </si>
  <si>
    <t>למלאי הסגירה יש 2 השפעות:</t>
  </si>
  <si>
    <t>המלאי נמדד תמיד - גם ל-31.12.2024, לפי הנמוך מבין:</t>
  </si>
  <si>
    <t>א. עלותו - 31.12.2024</t>
  </si>
  <si>
    <t>ב. שווי המימוש נטו שלו - 31.12.2024</t>
  </si>
  <si>
    <t>הערך הנמוך מביניהם - שהוא זה שידווח:</t>
  </si>
  <si>
    <t>החשבון ייקרא: ״מלאי סגירה - מאזן (נכס)״</t>
  </si>
  <si>
    <t>החשבון ייקרא: ״מלאי סגירה - רווח והפסד (קיטון בהוצאות / עלות המכר)״</t>
  </si>
  <si>
    <t>חדש!!! מלאי סגירה רוו״ה</t>
  </si>
  <si>
    <t>חדש!!! מלאי סגירה מאזן</t>
  </si>
  <si>
    <t>פחת נצבר 1.1.2024 (חולץ קודם)</t>
  </si>
  <si>
    <t>פחת נצבר לתום השנה 31.12.2024</t>
  </si>
  <si>
    <t>פחת נוסף השנה - הוצ׳ פחת 2024</t>
  </si>
  <si>
    <t>העדכון המתבקש לרישום הוצאות פחת:</t>
  </si>
  <si>
    <t>ז׳ פחת נצבר מכונות נקניק</t>
  </si>
  <si>
    <t>עדכון ערכים:</t>
  </si>
  <si>
    <t>הוצאות פחת חדש!!!</t>
  </si>
  <si>
    <t>פחת נצבר מחשבים - 1.1</t>
  </si>
  <si>
    <t>חילצנו קודם</t>
  </si>
  <si>
    <t>הוצ׳ פחת מחשבים - 2024</t>
  </si>
  <si>
    <t>המחשבים החדשים שעלותם 30 הופחתו ממועד רכישתם 1.4 עד תום השנה 31.12: 9 חודשים</t>
  </si>
  <si>
    <t>המחשבים הישנים שעלותם 40 הופחתו על כל השנה</t>
  </si>
  <si>
    <t>פחת נצבר מחשבים - 31.12</t>
  </si>
  <si>
    <t>סכום ספרות למחשבים:</t>
  </si>
  <si>
    <t xml:space="preserve">3 * 4 / 2 = </t>
  </si>
  <si>
    <t>הספרה / הספרות הרלוונטיות:</t>
  </si>
  <si>
    <t>מחשבים ישנים שעלותם 40:</t>
  </si>
  <si>
    <t>1.1.2024 - 30.9.2024</t>
  </si>
  <si>
    <t>30.9.2024 - 31.12.2024</t>
  </si>
  <si>
    <t>מחשבים חדשים שעלותם 30:</t>
  </si>
  <si>
    <t>1.4.2024 - 31.12.2024</t>
  </si>
  <si>
    <t>הספרה 3 במחשבים הישנים התחילה ברכישתם 30.9.2023, ומסתיימת שנה אחרי ב-30.9.2024</t>
  </si>
  <si>
    <t>ב-30.9.2024 (שנה אחרי הרכישה) הספרה יורדת ביחידה אחת: מ-3 ל-2</t>
  </si>
  <si>
    <t>זוהי השנה הראשונה לקיומם, הספרה 3</t>
  </si>
  <si>
    <t xml:space="preserve">40 * (3 * 9/12 + 2 * 3/12) / 6 + 30 * (3 * 9/12) / 6 = </t>
  </si>
  <si>
    <t>פחת נצבר לתחילת השנה בתוספת הוצאות פחת השנה</t>
  </si>
  <si>
    <t>הסבר נוסף / סכום ספרות:</t>
  </si>
  <si>
    <t>נרשמו</t>
  </si>
  <si>
    <t>באירוע</t>
  </si>
  <si>
    <t>במכונת נקניק</t>
  </si>
  <si>
    <t>מכונות - פחת נצבר 31.12</t>
  </si>
  <si>
    <t>חדש!!! הוצאות פחת</t>
  </si>
  <si>
    <t>טבלה מעודכנת המהווה את הבסיס לערכית הדוחות הכספיים:</t>
  </si>
  <si>
    <t xml:space="preserve">חלצו את כל הערכים החסרים (סימן שאלה) לפני עדכונים. </t>
  </si>
  <si>
    <t>הציגו את הדוחות הכספיים - הדוח על המצב הכספי (מאזן) ודוח רווח והפסד לשנת 2024.</t>
  </si>
  <si>
    <t xml:space="preserve">הקפידו לבצע רישומי פקודות יומן בגין עדכונים רלוונטיים מתבקשים. </t>
  </si>
  <si>
    <t xml:space="preserve">דוח רווח והפסד </t>
  </si>
  <si>
    <t>הדוח על המצב הכספי - מאזן</t>
  </si>
  <si>
    <t>רווח לפני מס</t>
  </si>
  <si>
    <t>מכירות (ברוטו) מהטבלה</t>
  </si>
  <si>
    <t>מכירות, נטו = יועתקו לרווח והפסד</t>
  </si>
  <si>
    <t>בניכוי מלאי סגירה 31.12</t>
  </si>
  <si>
    <t>סך עלות המכירות = מועתק לרווח והפסד במינוס</t>
  </si>
  <si>
    <t>קניות, נטו:</t>
  </si>
  <si>
    <t>קניות (ברוטו) - מהטבלה</t>
  </si>
  <si>
    <t>הוסף: הוצאות הובלה למחסן</t>
  </si>
  <si>
    <t>נכה: החזרות לספקים</t>
  </si>
  <si>
    <t>נכה: הנחות מסחריות מספקים</t>
  </si>
  <si>
    <t>סך הקניות נטו</t>
  </si>
  <si>
    <t>בתוספת קניות, נטו - ראו חישוב מלא למטה</t>
  </si>
  <si>
    <t>נתון 6: מתוך הוצ׳ השכר רק 30% הן הנהלה וכלליות, היתר שיווק</t>
  </si>
  <si>
    <t>סך הוצאות הנהלה וכלליות בסימן שלילי לרוו״ה</t>
  </si>
  <si>
    <t>נתון 6: 70% מההוצאה היא למכירה ושיווק, היתר 30% להנהלה וכלליות</t>
  </si>
  <si>
    <t>סך הוצאות המכירה והשיווק בסימן שלילי לרוו״ה</t>
  </si>
  <si>
    <t>הכנסות אחרות:</t>
  </si>
  <si>
    <t>נתון 2 - הכנסות אחרות כוללות הכנסות משירות</t>
  </si>
  <si>
    <t xml:space="preserve">250 * 5% = </t>
  </si>
  <si>
    <t>12.5 - 0 + PN = 35 &gt;&gt;&gt;&gt;&gt;&gt;&gt;&gt;&gt;&gt;&gt; PN = 22.5</t>
  </si>
  <si>
    <t>זה המספר החשוב שלי!</t>
  </si>
  <si>
    <t>כי על הוצאות ההלח״מ של השנה</t>
  </si>
  <si>
    <t>ארשום פקודת יומן</t>
  </si>
  <si>
    <t>לעדכון יתרות</t>
  </si>
  <si>
    <t>כאשר זיהיתי יתרת הכנסות</t>
  </si>
  <si>
    <t>מראש שאיננה מעודכנת,</t>
  </si>
  <si>
    <t>עליי לדאוג לעדכן את השירות</t>
  </si>
  <si>
    <t>הנוסף שניתן, גם כהכנסה</t>
  </si>
  <si>
    <t>וגם כקיטון בהתחייבות ללקוח (בהכנסות מראש)</t>
  </si>
  <si>
    <t>חובה הכנסות מראש (ירידה בהתחייבות)</t>
  </si>
  <si>
    <t>זכות הכנסות משירות (הכרה בהכנסה)</t>
  </si>
  <si>
    <t>חושב בחילוץ הנתונים = 2 * 10 / 1,000</t>
  </si>
  <si>
    <t xml:space="preserve">1,000/10 = </t>
  </si>
  <si>
    <t>פקודות עדכון בגין פחת הן אך ורק על הפחת</t>
  </si>
  <si>
    <t>של השנה הנוכחית</t>
  </si>
  <si>
    <t xml:space="preserve">40 * (3*3/12)/6 = </t>
  </si>
  <si>
    <t xml:space="preserve">40 * (3 * 9/12 + 2 * 3/12)/6 + 30 * (3 * 9/12)/6 = </t>
  </si>
  <si>
    <t>זכות פחת נצבר מחשבים</t>
  </si>
  <si>
    <t>מכירות (סעיף המכירות ברווח והפסד)</t>
  </si>
  <si>
    <t>מכירות פחות עלות המכר</t>
  </si>
  <si>
    <t>רווח גולמי בסיכום הערכים שאחריו</t>
  </si>
  <si>
    <t>הוצאות מימון:</t>
  </si>
  <si>
    <t>הנחות מזומן מספקים (שׁהתקבלו)</t>
  </si>
  <si>
    <t>סך הכל הוצאות מימון ברווח והפסד - בסימן שלילי</t>
  </si>
  <si>
    <t>סך הכל הכנסות מימון ברווח והפסד - בסימן חיובי</t>
  </si>
  <si>
    <t>ר׳ תפעולי בניכוי הוצ׳ מימון בתוספת הכנ׳ מימון</t>
  </si>
  <si>
    <t>אין פה</t>
  </si>
  <si>
    <t>רווח לפני מס בניכוי מס</t>
  </si>
  <si>
    <t>אמנם כתבתי לכם פה את כל הדוח,</t>
  </si>
  <si>
    <t>אבל במבחן - תמחקו שורות אפס!!!</t>
  </si>
  <si>
    <t>בדוח על המצב הכספי (המאזן) הלקוחות תמיד מוצגים</t>
  </si>
  <si>
    <t>בסכומם נטו, כלומר לפי לקוחות ברוטו בניכוי הלח״מ.</t>
  </si>
  <si>
    <t>לקוחות ברוטו (מהטבלה)</t>
  </si>
  <si>
    <t>הלח״מ 31.12.2024</t>
  </si>
  <si>
    <t>לקוחות , נטו - למאזן</t>
  </si>
  <si>
    <t>מלאי:</t>
  </si>
  <si>
    <t>בדוח על המצב הכספי (מאזן) כותבים כנכס רק את מלאי הסגירה.</t>
  </si>
  <si>
    <t>יחד עם זאת, חשוב מאד - במאזן עצמו לא נקרא לו מלאי סגירה</t>
  </si>
  <si>
    <t xml:space="preserve">אלא פשוט מלאי. </t>
  </si>
  <si>
    <t>כולל תמיד את כל פריטי הרכוש הקבוע הפיזיים (מכונות, ציוד, כלי רכב, מבנים ועוד)</t>
  </si>
  <si>
    <t>בניכוי הפחת הנצבר העדכני בגינם. במקרה זה:</t>
  </si>
  <si>
    <t>מכונות נקניק</t>
  </si>
  <si>
    <t>סעיף שכולל את חיבור הערכים של פריטים כגון: פטנטים, קניין רוחני,</t>
  </si>
  <si>
    <t xml:space="preserve">זכויות יוצרים, מוניטין, שמות מסחריים וכיו״ב. </t>
  </si>
  <si>
    <t xml:space="preserve">כאן - יש רק פטנטים. </t>
  </si>
  <si>
    <t>זכאים (הוצ׳ לשלם, הכנ׳ מראש)</t>
  </si>
  <si>
    <t>העודפים תמיד צריכים להיות לסוף השנה:</t>
  </si>
  <si>
    <t>ניקח את העודפים ל-1.1 (חילצנו):</t>
  </si>
  <si>
    <t>בתוספת רווח השנה - מדוח רווח והפסד:</t>
  </si>
  <si>
    <t>עודפים ל-31.12.2024 - למאזן:</t>
  </si>
  <si>
    <t>X = 1453.5</t>
  </si>
  <si>
    <t xml:space="preserve">מפגש 12 - חזרה לבחינה - פתרון שאלות קטנות </t>
  </si>
  <si>
    <t xml:space="preserve">בשני המפגשים הקודמים עסקנו בפתרון שאלות מסה. שאלות אלו מהוות את חלק א של הבחינה, שמשקלו 50 נק׳. </t>
  </si>
  <si>
    <t>היום, נעסוק בפתרון שאלות טריות מבחינה עדכנית בהקשר לחלק ב - שאלות קצרות.</t>
  </si>
  <si>
    <t xml:space="preserve">שאלות הבחינה ה״קצרות״ שנפתור הן ממועד בחינה 2025א, מועד א. </t>
  </si>
  <si>
    <t>נדרש: רשמו פקודות יומן למתן ביטוי לעסקאות.</t>
  </si>
  <si>
    <t>הכנסות משירותי נקניק</t>
  </si>
  <si>
    <t>הערה: אם סיפקתי שירות וטרם הנפקתי חשבונית,</t>
  </si>
  <si>
    <t xml:space="preserve">ההכנסה תוכר כנגד הכנסות לקבל. </t>
  </si>
  <si>
    <t>אם הנפקתי חשבונית ההכנסה תוכר כנגד לקוחות.</t>
  </si>
  <si>
    <t>שיקים לפירעון</t>
  </si>
  <si>
    <t>הסכום הכולל ששולם: קרן 200,000 + ריבית 25,000</t>
  </si>
  <si>
    <t>ההלוואה תקטן בגובה הקרן במועד הפרעון</t>
  </si>
  <si>
    <t>פיתה - רון:</t>
  </si>
  <si>
    <t>למרות קיומם של סעיפים רבים בשאלה זו, הואיל והיא עוסקת בהכרה בהכנסות / הוצאות / חתך, אזי יצירת גיליון</t>
  </si>
  <si>
    <t>העבודה שלנו יטפל בכל השלבים יחד - וזה בסדר גמור.</t>
  </si>
  <si>
    <t>פקודה שתירשם בהנה״ח</t>
  </si>
  <si>
    <t>סכום הכנסה ברוו״ה</t>
  </si>
  <si>
    <t>נדרש ג</t>
  </si>
  <si>
    <t>נדרש ב (לפי שווי השירות)</t>
  </si>
  <si>
    <t>ח׳ מזומן 30,000</t>
  </si>
  <si>
    <t>ז׳ הכנסות 30,000</t>
  </si>
  <si>
    <t>ח׳ מזומן 70,000</t>
  </si>
  <si>
    <t>ז׳ הכנסות 70,000</t>
  </si>
  <si>
    <t>נדרש א (פקודה-לפי המזומן)</t>
  </si>
  <si>
    <t>נדרש ד (מזומן מצטבר מול שירות מצטבר)</t>
  </si>
  <si>
    <t>הכנסות מראש 80,000 = 20,000 - 100,000</t>
  </si>
  <si>
    <t>הכנסות לקבל 40,000 = 130,000 - 170,000</t>
  </si>
  <si>
    <t>אין (סך המזומן המצטבר = סך השירות המצטבר)</t>
  </si>
  <si>
    <t>ח׳ הכנסות 80,000</t>
  </si>
  <si>
    <t>ז׳ הכנסות 120,000</t>
  </si>
  <si>
    <t>ח׳ הכנסות 40,000</t>
  </si>
  <si>
    <t>ז׳ הכנסות מראש 80,000</t>
  </si>
  <si>
    <t>ח׳ הכנסות מראש 80,000</t>
  </si>
  <si>
    <t>ח׳ הכנסות לקבל 40,000</t>
  </si>
  <si>
    <t>ז׳ הכנסות לקבל 40,000</t>
  </si>
  <si>
    <t>פיתה-רון:</t>
  </si>
  <si>
    <t xml:space="preserve">השאלה עוסקת בלקוחות והלח״מ, גם בהקשר זה יש לנו נייר עבודה רלוונטי. </t>
  </si>
  <si>
    <t>טיפ - למדו באופן מאסיבי את שיעור 6 להתמודדות עם הנושא.</t>
  </si>
  <si>
    <t>בנוסף, נרחיב מעט את השאלה - כדי שתכלול מענה לכל מה שאנחנו יכולים לשאול, ולא רק לנדרש הספציפי.</t>
  </si>
  <si>
    <t>חובה (עלייה)</t>
  </si>
  <si>
    <t>זכות (ירידה)</t>
  </si>
  <si>
    <t>הלח״מ (נכס במינוס)</t>
  </si>
  <si>
    <t>זכות (עלייה)</t>
  </si>
  <si>
    <t>חובה (ירידה)</t>
  </si>
  <si>
    <t>חובה (הוצאה)</t>
  </si>
  <si>
    <t>זכות (הכנסה)</t>
  </si>
  <si>
    <t>יתרות פתיחה = 31.12.2023</t>
  </si>
  <si>
    <t>31.12.2023</t>
  </si>
  <si>
    <t>יתרת הלח״מ למועד זה:</t>
  </si>
  <si>
    <t>מכירות באשראי 2024 (1)</t>
  </si>
  <si>
    <t>גבייה מלקוחות 2024 (2)</t>
  </si>
  <si>
    <t>חוב אבוד 2024 (3)</t>
  </si>
  <si>
    <t>הוצאות הלח״מ (בסוף)</t>
  </si>
  <si>
    <t>יתרות סגירה=31.12.2024 (4)</t>
  </si>
  <si>
    <t>הוצאות ההלח״מ: 31,120</t>
  </si>
  <si>
    <t>אם היו שואלים על:</t>
  </si>
  <si>
    <t>יתרת הלקוחות ברוטו:</t>
  </si>
  <si>
    <t>יתרת ההלח״מ:</t>
  </si>
  <si>
    <t>לקוחות, נטו (במאזן):</t>
  </si>
  <si>
    <t xml:space="preserve">968,000 - 87,120 = </t>
  </si>
  <si>
    <t>סך ההון</t>
  </si>
  <si>
    <t>הואיל והשאלה עוסקת ב-2020, והחברה הוקמה ב-2020, אין יתרות פתיחה.</t>
  </si>
  <si>
    <t>הנפקת מניות בהקמה</t>
  </si>
  <si>
    <t>הון מניות
3 ש״ח ע״נ</t>
  </si>
  <si>
    <t>הנפקה נוספת אחרי חודש</t>
  </si>
  <si>
    <t>הון מניות
1 ש״ח ע״נ</t>
  </si>
  <si>
    <t>הנפקת הטבה 1.10.2020</t>
  </si>
  <si>
    <t>רווח נקי 31.12.2020</t>
  </si>
  <si>
    <t>דיבידנד שהוכרז 31.12.2020</t>
  </si>
  <si>
    <t>יתרות לדיווח 31.12.2020</t>
  </si>
  <si>
    <t>תאריך הרכישה</t>
  </si>
  <si>
    <t>עלות:</t>
  </si>
  <si>
    <t xml:space="preserve">300,000 + 20,000 + 30,000 = </t>
  </si>
  <si>
    <t>תאריך הגעה לחברה:</t>
  </si>
  <si>
    <t>זמינה לשימוש החל מ:</t>
  </si>
  <si>
    <t>התחלת שימוש בפועל:</t>
  </si>
  <si>
    <t>זכרו: מועד הזמינות לשימוש הוא התאריך שממנו והלאה תרשמנה הוצאות פחת. יתר התאריכים לא רלוונטיים.</t>
  </si>
  <si>
    <t>גרט:</t>
  </si>
  <si>
    <t>תקופת הפחתה - בשנים:</t>
  </si>
  <si>
    <t>כאשר המטרה היא להציג: עלות, פחת נצבר, עלות מופחתת והוצאות פחת לכל שנה, אני נוהג לעבוד עם הטבלה.</t>
  </si>
  <si>
    <t>פתרון הסעיפים א + ב (הצגה בשנים 2024 ו-2025, בהנחה שלא בוצעה מכירה):</t>
  </si>
  <si>
    <t>הוצאות פחת: בקו ישר - לפי עלות בניכוי שייר/גרט, חלקי תקופת הפחתה בשנים - וכפול החלק היחסי של השנה (אם לא מדובר בשנה שלמה):</t>
  </si>
  <si>
    <t xml:space="preserve">(350,000 - 50,000)/10 * 8/12 = </t>
  </si>
  <si>
    <t xml:space="preserve">המכפלה ב-8/12 מייצגת את פרק הזמן ב-2024 ממועד הזמינות לשימוש - 1.5.2024, עד מועד הדיווח 31.12.2024. </t>
  </si>
  <si>
    <t xml:space="preserve">לשנה שלמה. </t>
  </si>
  <si>
    <t xml:space="preserve">(350,000 - 50,000)/10  = </t>
  </si>
  <si>
    <t>עלות בניכוי הפחת הנצבר</t>
  </si>
  <si>
    <t>פתרון סעיף ג - חישוב רווח / הפסד הון במכירה, בהנחה שבוצעה ב-31/12/2025 בתמורה ל-231,000</t>
  </si>
  <si>
    <t>רווח / הפסד ההון מוגדר לפי ההפרש בין תמורת המכירה לבין העלות המופחתת (עלות בניכוי פחת נצבר) ערב המכירה.</t>
  </si>
  <si>
    <t>העלות המופחתת למועד המכירה 31/12/2025 - חושבה בסעיף קודם:</t>
  </si>
  <si>
    <t>תמורה:</t>
  </si>
  <si>
    <t>בניכוי עלות מופחתת:</t>
  </si>
  <si>
    <t>הפרש שלילי - הפסד הון:</t>
  </si>
  <si>
    <t>תשובה מלאה לסעיף.</t>
  </si>
  <si>
    <t>תבנית למכירה:</t>
  </si>
  <si>
    <t>יישום בנתוני השאלה:</t>
  </si>
  <si>
    <t>ח׳ מזומן - לפי גובה תמורת המכירה</t>
  </si>
  <si>
    <t>ז׳ פריט רכוש קבוע - לפי עלותו</t>
  </si>
  <si>
    <t>ח׳ פחת נצבר רכוש קבוע - ערב המכירה</t>
  </si>
  <si>
    <t xml:space="preserve">ח׳ הפסד הון </t>
  </si>
  <si>
    <r>
      <t xml:space="preserve">למרות </t>
    </r>
    <r>
      <rPr>
        <b/>
        <sz val="11"/>
        <color theme="1"/>
        <rFont val="David"/>
        <family val="2"/>
        <charset val="177"/>
      </rPr>
      <t>שלא נדרש בשאלה זו</t>
    </r>
    <r>
      <rPr>
        <sz val="11"/>
        <color theme="1"/>
        <rFont val="David"/>
        <family val="2"/>
        <charset val="177"/>
      </rPr>
      <t>, כהרחבה בלבד ולבקשתכם, נרשום גם פקודת יומן במועד המכירה:</t>
    </r>
  </si>
  <si>
    <t>תאריך רכישה:</t>
  </si>
  <si>
    <t>העלויות כוללות גם עלות ראשונית וגם התקנה, עיתוי התשלום בפועל לא רלוונטי לעניין חישוב העלות</t>
  </si>
  <si>
    <t>הגעה</t>
  </si>
  <si>
    <t>זמינה</t>
  </si>
  <si>
    <t>הנתון החשוב, מפה תתחיל ההפחתה</t>
  </si>
  <si>
    <t>שימוש החל ב</t>
  </si>
  <si>
    <t>אין לי שמץ?</t>
  </si>
  <si>
    <t>נתון נוסף - עלות מופחתת (עלות בניכוי פחת נצבר) ל-31.12.2021:</t>
  </si>
  <si>
    <t>נדרש: מהי העלות המופחתת בחלוף שנה נוספת ל-31.12.2022?</t>
  </si>
  <si>
    <t>מה משקפת העלות המופחתת ל-31.12.2021?</t>
  </si>
  <si>
    <t>בניכוי פחנ״צ</t>
  </si>
  <si>
    <t>נתונה</t>
  </si>
  <si>
    <t>עלות בניכוי פחת נצבר: נתונה</t>
  </si>
  <si>
    <t>ערך מחולץ</t>
  </si>
  <si>
    <t>165,000 - (165,000 - 10,000)/X * (1 + 10/12) = 136,583</t>
  </si>
  <si>
    <t>דרך שמתבססת על ההגדרה המתמטית של עלות בניכוי פחת נצבר:</t>
  </si>
  <si>
    <t>עלות בניכוי גרט</t>
  </si>
  <si>
    <t>חלקי מס׳ שנים</t>
  </si>
  <si>
    <t>לא ידוע X</t>
  </si>
  <si>
    <t>פרק הזמן</t>
  </si>
  <si>
    <t>שחלף</t>
  </si>
  <si>
    <t>מ-1.3.2020</t>
  </si>
  <si>
    <t>עד 31.12.2021</t>
  </si>
  <si>
    <t>המסקנה היא שלאחר שנה ו-10 חודשים</t>
  </si>
  <si>
    <t>הפחת הנצבר לתקופה של 1 + 10/12 הוא:</t>
  </si>
  <si>
    <t xml:space="preserve">28,417 / (1 + 10/12) = </t>
  </si>
  <si>
    <t>בחלוף שנה נוספת, הפחנ״צ יגדל בסכום זה, ונקבל:</t>
  </si>
  <si>
    <t xml:space="preserve">28,417 + 15,500 = </t>
  </si>
  <si>
    <t>הנדרש</t>
  </si>
  <si>
    <t>שנות ההפחתה של הפריט</t>
  </si>
  <si>
    <t xml:space="preserve">(165,000 - 10,000)/10 * (2 + 10/12) = </t>
  </si>
  <si>
    <t>חלקי תקופת הפחתה - פחת לשנה</t>
  </si>
  <si>
    <t>לשם חישוב פחת נצברף אכפול פחת שנתי</t>
  </si>
  <si>
    <t>בפרק הזמן בשנים שחלף ממועד הזמינות לשימוש</t>
  </si>
  <si>
    <t>שהוא 1.3.2020 עד מועד הדיווח 31.12.2022</t>
  </si>
  <si>
    <t>מס׳ השנים בטווח: שנתיים שלמות ו-10 חודשים</t>
  </si>
  <si>
    <t>גישה 1:</t>
  </si>
  <si>
    <t>אם ידועה העלות והעלות המופחתת ל-31.12.2021, ניתן לחלץ פחת נצבר למועד זה.</t>
  </si>
  <si>
    <t xml:space="preserve">אם הפחת הנצבר ידוע, אפשר לחלץ מתוכו פחת לשנה (מחלקים אותו בשנים שחלפו). </t>
  </si>
  <si>
    <t>אם הפחת לשנה חושב, כל מה שצריך זה להוסיף אותו לפחת הנצבר, כדי לחשב</t>
  </si>
  <si>
    <t xml:space="preserve">פחת נצבר ועלות מופחתת לשנה הבאה. </t>
  </si>
  <si>
    <t>גישה 2:</t>
  </si>
  <si>
    <t xml:space="preserve">אבנה משוואה מתמטית להגדרת העלות בניכוי פחת נצבר, כאשר תקופת </t>
  </si>
  <si>
    <t>ההפחתה במשוואה (במה מחלקים) לא ידועה - X.</t>
  </si>
  <si>
    <t>על בסיס המשוואה, נחלץ את X (תקופת ההפחתה).</t>
  </si>
  <si>
    <t>אם תקופת ההפחתה ידועה, נוכל לחשב פחת נצבר וערך ספרים לכל נקודת זמן.</t>
  </si>
  <si>
    <t>אם תקופת ההפחתה ידועה, נוכל לחשב פחת נצבר וערך ספרים לכל נקודת זמן.ד הו</t>
  </si>
  <si>
    <t>מפגש 13 ואחרון - מבוא לחשבונאות פיננסית - שאלות בנושאים שונים והידוק למידה לבחינה</t>
  </si>
  <si>
    <t>כללי - קצת על הבחינה:</t>
  </si>
  <si>
    <t xml:space="preserve">המבנה והכיוון של שאלת המסה דומה למבנה ולכיוון של שאלות המסה שפתרנו. </t>
  </si>
  <si>
    <t xml:space="preserve">חשוב לדעת לרשום את כל פקודות היומן המעדכנות. </t>
  </si>
  <si>
    <t xml:space="preserve">חשוב להכיר ולדעת את כל סוגי חשבונות החתך ועדכונם. </t>
  </si>
  <si>
    <t>רכוש קבוע כנושא יהיה מורכב יחסית (נעשה תרגולים היום). לצורך פתרונו, חשוב להכיר לא רק פתרון ״בטבלה״</t>
  </si>
  <si>
    <t xml:space="preserve">אלא גם את המשוואות / ההגדרות המתמטיות של כל רכיב (פחת נצבר, עלות מופחתת - בכל השיטות) - ואת זה </t>
  </si>
  <si>
    <t xml:space="preserve">נדגים גם היום. </t>
  </si>
  <si>
    <t>שאלת רכוש קבוע מורכבת - הדגמה</t>
  </si>
  <si>
    <t>חברת דרורים בע״מ מחזיקה בפריטי הרכוש הקבוע הבאים ולהלן נתוניהם ב-31.12.2024:</t>
  </si>
  <si>
    <t>תאריך
רכישה</t>
  </si>
  <si>
    <t>ערך ספרים
עלות מופחתת</t>
  </si>
  <si>
    <t>מכונת חימום 
נקניק</t>
  </si>
  <si>
    <t>ציוד לליקוט
פופיקים</t>
  </si>
  <si>
    <t>א. מכונת חימום הנקניק הפכה לזמינה לשימוש 3 חודשים לאחר מועד רכישתה, אך הופעלה 4 חודשים לאחר מועד</t>
  </si>
  <si>
    <t xml:space="preserve">רכישתה. המכונה מופחתת על פני 10 שנים. </t>
  </si>
  <si>
    <t xml:space="preserve">ב-30.6.2025 נמכרה מכונה זו, ונרכשה מכונה אחרת שעלותה כפולה, שזמינה לשימוש החל ממועד רכישתה. </t>
  </si>
  <si>
    <t xml:space="preserve">המכונה החדשה מופחתת על פני 8 שנים ללא שייר / גרט. </t>
  </si>
  <si>
    <t>תמורת המכירה של המכונה הישנה גבוהה ב-20% מערך הספרים שלה למועד מכירתה.</t>
  </si>
  <si>
    <t>ה-1.12.2021. החברה מכרה ב-1.9.2025 40% מהציוד המקורי, ורכשה בתמורת המכירה ציוד חדש שמופחת לפי אותם</t>
  </si>
  <si>
    <t xml:space="preserve">הפרמטרים בדיוק. המכירה לוותה בהפסד הון בסך 4,000 ש״ח. </t>
  </si>
  <si>
    <t>א. מהן הוצאות הפחת בחברה לשנת 2025?</t>
  </si>
  <si>
    <t xml:space="preserve">ב. מהו רווח / הפסד ההון שיירשם בגין מכירת הפריטים השונים (יש לדון בגין כל מכירה בנפרד). </t>
  </si>
  <si>
    <t>ג. הציגו את העלות, הפחת הנצבר וערך הספרים (עלות מופחתת) בגין מכונות נקניק ובגין ציוד פופיקים (בנפרד)</t>
  </si>
  <si>
    <t>ליום 31.12.2025.</t>
  </si>
  <si>
    <t>נתחיל מדיון מפורט בדבר המכונה לחימום נקניק</t>
  </si>
  <si>
    <t>זמינות לשימוש:</t>
  </si>
  <si>
    <t>תקופת הפחתה בשנים:</t>
  </si>
  <si>
    <r>
      <t xml:space="preserve">שלושה חודשים לאחר הרכישה כנתון - זה המידע העיקרי החשוב - הפחתה מתחילה תמיד </t>
    </r>
    <r>
      <rPr>
        <u/>
        <sz val="12"/>
        <color theme="1"/>
        <rFont val="David"/>
        <family val="2"/>
        <charset val="177"/>
      </rPr>
      <t>מהזמינות</t>
    </r>
    <r>
      <rPr>
        <sz val="12"/>
        <color theme="1"/>
        <rFont val="David"/>
        <family val="2"/>
        <charset val="177"/>
      </rPr>
      <t xml:space="preserve"> לשימוש.</t>
    </r>
  </si>
  <si>
    <t>שיטת. פחת:</t>
  </si>
  <si>
    <t>גרט בש״ח:</t>
  </si>
  <si>
    <t>עלות מופחתת 31/12/2024:</t>
  </si>
  <si>
    <t xml:space="preserve">נתחיל מחישוב הוצאות הפחת לשנת 2025. </t>
  </si>
  <si>
    <t>בדרך כלל, כדי לחשב את הוצאות הפחת, אני צריך לדעת מה העלות.</t>
  </si>
  <si>
    <t xml:space="preserve">הואיל והעלות לא ידועה, נשתמש במידע הקיים בשאלה כדי ״לחלץ״ את העלות. </t>
  </si>
  <si>
    <t>בשאלה יש מידע בדבר העלות המופחתת ל-31/12/2024.</t>
  </si>
  <si>
    <t>X - (X - 10,000)/10 * (4 + 9/12) = 350,000</t>
  </si>
  <si>
    <t>מופחתת</t>
  </si>
  <si>
    <t>עלות (לא ידועה,</t>
  </si>
  <si>
    <t>ולכן X)</t>
  </si>
  <si>
    <t>פחת נצבר:</t>
  </si>
  <si>
    <t>לפי העלות X</t>
  </si>
  <si>
    <t>בניכוי גרט / שייר 10,000</t>
  </si>
  <si>
    <t>חלקי 10: תקופת הפחתה בשנים</t>
  </si>
  <si>
    <t>כפול בפרק הזמן ממועד</t>
  </si>
  <si>
    <t>הזמינות לשימוש 1.4.2020 עד מועד הדיווח 31.12.2024</t>
  </si>
  <si>
    <t>כלומר: 4 שנים + 9 חודשים</t>
  </si>
  <si>
    <t>ליום</t>
  </si>
  <si>
    <t>כנתון</t>
  </si>
  <si>
    <t>X = 657,619</t>
  </si>
  <si>
    <t>ממשוואה זו ניתן לחלץ את העלות של המכונות הישנות:</t>
  </si>
  <si>
    <t xml:space="preserve">העלות של המכונות החדשות שנרכשו ב-30.6.2025: </t>
  </si>
  <si>
    <t>כנתון - פי 2 מעלות המכונות הישנות</t>
  </si>
  <si>
    <t>בעצם, הוצאות הפחת כוללות שני חלקים:</t>
  </si>
  <si>
    <t>פחת על המכונות הישנות מ-1.1.2025 עד 30.6.2025:</t>
  </si>
  <si>
    <t>פחת על המכונות החדשות מ-30.6.2025 עד 31.12.2025:</t>
  </si>
  <si>
    <t xml:space="preserve">(657,619 - 10,000)/10 * (6/12) = </t>
  </si>
  <si>
    <t xml:space="preserve">(1,315,238 - 0)/8 * (6/12) = </t>
  </si>
  <si>
    <t>סך הוצאות הפחת על כל סוגי המכונות לשנת 2025</t>
  </si>
  <si>
    <t xml:space="preserve">32,381 + 82,202 = </t>
  </si>
  <si>
    <t xml:space="preserve">נתחיל מחישוב רווח / הפסד הון במועד המכירה </t>
  </si>
  <si>
    <t xml:space="preserve">המכירה בוצעה ב-30.6.2025. </t>
  </si>
  <si>
    <t>כדי לחשב רווח / הפסד הון במכירה, עלינו להתייחס לערך הספרים (עלות מופחתת) במועד המכירה, וכן לנתונים הנוספים בדבר התמורה.</t>
  </si>
  <si>
    <t>עלות מופחתת במועד המכירה:</t>
  </si>
  <si>
    <t>פחת נצבר - פריטים שנמכרו</t>
  </si>
  <si>
    <t xml:space="preserve">(657,619 - 10,000)/10 * (5 + 3/12) = </t>
  </si>
  <si>
    <t>מדוע 5 שנים ו-3 חודשים?</t>
  </si>
  <si>
    <t>מ-1.4.2020 עד 30.6.2025</t>
  </si>
  <si>
    <t>כנתון: 20% מהעלות המופחתת</t>
  </si>
  <si>
    <t xml:space="preserve">317,619 * (1 + 20%) = </t>
  </si>
  <si>
    <t>רווח הון במכירת מכונת נקניק</t>
  </si>
  <si>
    <t>נעבור לבסוף להצגת עלות, פחת נצבר ועלות מופחתת על המכונות שלא נמכרו (החדשות)</t>
  </si>
  <si>
    <t>ליום 31/12/2025:</t>
  </si>
  <si>
    <t>עלות (מכונות חדשות)</t>
  </si>
  <si>
    <t>בלבד, כי הישנות נמכרו</t>
  </si>
  <si>
    <t>פחת נצבר - חדשות בלבד</t>
  </si>
  <si>
    <t>עלות מופחת</t>
  </si>
  <si>
    <t xml:space="preserve">הואיל והמכונות הללו נרכשו השנה, הפחת הנצבר עליהן זהה להוצאות הפחת </t>
  </si>
  <si>
    <t>נמשיך בדיון מפורט בדבר הציוד</t>
  </si>
  <si>
    <t>זמינות לשימוש</t>
  </si>
  <si>
    <t>ב. הציוד לליקוט פופיקים הפך לזמין לשימוש 4 חודשים לאחר מועד רכישתו ומופחת על פני 9 שנים, אך החל לשמש את החברה בפועל רק בתאריך</t>
  </si>
  <si>
    <t>הוצאות פחת - ציוד לליקוט - 2025</t>
  </si>
  <si>
    <t>סס״י = נחשב את סכום הספרות תחילה:</t>
  </si>
  <si>
    <t xml:space="preserve">9 * 10 / 2 = </t>
  </si>
  <si>
    <t>הוצאות הפחת לשנת 2025 בגין פריטים אלו, עד מכירתם - עד 1.9.2025:</t>
  </si>
  <si>
    <t>זמינות: 1.9.2021, עד 1.9.22: ספרה 9, עד 1.9.23: ספרה 8, עד 1.9.24: ספרה 7, עד 1.9.25: ספרה 6, עד 1.9.26: ספרה 5</t>
  </si>
  <si>
    <t>הוצאות פחת ל-2025, פריטים שנמכרו ב-1.9:</t>
  </si>
  <si>
    <t>הוצאות פחת ל-2025, פריטים ישנים שלא נמכרו (כל השנה):</t>
  </si>
  <si>
    <t xml:space="preserve">(40,000 * 40% - 0) * (6 * 8/12)  / 45= </t>
  </si>
  <si>
    <t xml:space="preserve">(40,000 * 60% - 0) * (6 * 8/12 + 5 * 4/12) / 45= </t>
  </si>
  <si>
    <t>מדובר ב-60%</t>
  </si>
  <si>
    <t>משום שזה החלק שלא נמכר</t>
  </si>
  <si>
    <t>ולכן מופחת על כל השנה</t>
  </si>
  <si>
    <t>בשונה מהחלק של 40%</t>
  </si>
  <si>
    <t>שמופחת רק 8 חודשים</t>
  </si>
  <si>
    <t>עד מכירתו</t>
  </si>
  <si>
    <t>מ-1.1.25</t>
  </si>
  <si>
    <t>עד 1.9.25</t>
  </si>
  <si>
    <t>הספרה</t>
  </si>
  <si>
    <t>להפחתה</t>
  </si>
  <si>
    <t>היא 6</t>
  </si>
  <si>
    <t>ומדובר ב-8</t>
  </si>
  <si>
    <t>מ-1.9.25</t>
  </si>
  <si>
    <t>עד 31.12.25</t>
  </si>
  <si>
    <t>הבאה 5</t>
  </si>
  <si>
    <t>ומדובר ב-4</t>
  </si>
  <si>
    <t>הוצאות פחת - פריטים חדשים שנרכשו ב-1.9.25:</t>
  </si>
  <si>
    <t xml:space="preserve">כדי להתייחס לפריטים החדשים, עליי לדעת כמה הם עלו. </t>
  </si>
  <si>
    <t xml:space="preserve">כנתון, 40% מהפריטים הישנים נמכרו ב-1.9.2025, כאשר נוצר הפסד הון במכירה של 4,000 ש״ח. </t>
  </si>
  <si>
    <t>ננתח:</t>
  </si>
  <si>
    <t>עלות הפריטים שנמכרו</t>
  </si>
  <si>
    <t xml:space="preserve">40,000 * 40% = </t>
  </si>
  <si>
    <t>פחנ״צ פריטים שנמכרו</t>
  </si>
  <si>
    <t xml:space="preserve">(40,000 * 40% - 0) * (9 + 8 + 7 + 6)  / 45= </t>
  </si>
  <si>
    <t>מ-1.9.2021 עד 1.9.2025</t>
  </si>
  <si>
    <t>חלפו 4 שנים שלמות.</t>
  </si>
  <si>
    <t>עלות מופחתת פריטים שנמכרו</t>
  </si>
  <si>
    <t>הפסד הון במכירה:</t>
  </si>
  <si>
    <t>התמורה חייבת להיות:</t>
  </si>
  <si>
    <t xml:space="preserve">5,333 - 4,000 = </t>
  </si>
  <si>
    <t>כנתון - תמורת המכירה זהה לעלות הציוד החדש!!!</t>
  </si>
  <si>
    <t xml:space="preserve">1,333*(9*4/12)/45 </t>
  </si>
  <si>
    <t xml:space="preserve">הסבר מפורט לגבי הוצאות - פריט חדש: </t>
  </si>
  <si>
    <t>עלות הפריט החדש</t>
  </si>
  <si>
    <t>איך ידעתי אותה?</t>
  </si>
  <si>
    <t>כי בשאלה אמור שהיא זהה לתמורת המכירה של הפריטים</t>
  </si>
  <si>
    <t>הישנים שחילצתי לעיל</t>
  </si>
  <si>
    <t>כנתון: הפריט החדש</t>
  </si>
  <si>
    <t>מופחת לפי אותם פרמטרים</t>
  </si>
  <si>
    <t xml:space="preserve">לכן, מדובר ב-9 שנות </t>
  </si>
  <si>
    <t>הפחתה, שמובילות</t>
  </si>
  <si>
    <t>לסכום ספרות 45</t>
  </si>
  <si>
    <t>והואיל וזו שנת ההפחתה</t>
  </si>
  <si>
    <t>הראשונה של הפריט החדש,</t>
  </si>
  <si>
    <t>הספרה 9, ובתוקף מ-1.9.2025 עד 31.12.2025 (4 חודשים)</t>
  </si>
  <si>
    <t>הסבר למטה</t>
  </si>
  <si>
    <t>סך הוצאות הפחת ל-2025 בגין הציוד:</t>
  </si>
  <si>
    <t>כעת נציג עלות, פחת נצבר ועלות מופחתת בגין פריטים אלו:</t>
  </si>
  <si>
    <t xml:space="preserve">40,000 * 60% + 1,333 = </t>
  </si>
  <si>
    <t>כאשר 40,000 זו עלות הפריטים הישנים</t>
  </si>
  <si>
    <t>החלק שלא נמכר מתוכם הוא 60%</t>
  </si>
  <si>
    <t>החדש</t>
  </si>
  <si>
    <t>גם הפחת הנצבר מורכב משני חלקים:</t>
  </si>
  <si>
    <t>פחת נצבר על הפריטים הישנים</t>
  </si>
  <si>
    <t>פחת נצבר על הפריטים החדשים (זהה לפחת השנה)</t>
  </si>
  <si>
    <t xml:space="preserve">(40,000 * 60% - 0) * (9 + 8 + 7 + 6 + 5*4/12)  / 45= </t>
  </si>
  <si>
    <t>פחת נצבר עדכני לתום 2025</t>
  </si>
  <si>
    <t>שאלת לקוחות והלח״מ - הדגמה</t>
  </si>
  <si>
    <t xml:space="preserve">חברת ״נקניקי דרור״ בע״מ פועלת בתחום טחינת הכרבולות לצרכים עסקיים. </t>
  </si>
  <si>
    <t>ידוע שהיתרה הכוללת של חוב הלקוחות של החברה כלפיה (ברמת הברוטו) ליום 31.12.2022 היא 400,000 ש״ח.</t>
  </si>
  <si>
    <t>יתרה זו כוללת 2 קבוצות של לקוחות: קבוצה אחת היא קבוצה טובה שמשלמת בדרך כלל בזמן, היקף החוב</t>
  </si>
  <si>
    <t xml:space="preserve">שלה הוא 70% מהיקף החוב הכולל, ושיעור ההלח״מ בגינה 5%. קבוצה שניה שכוללת את כל יתר הלקוחות </t>
  </si>
  <si>
    <t xml:space="preserve">היא מסוכנת יותר ושיעור ההלח״מ בגינה 15%. </t>
  </si>
  <si>
    <t>החברה ביצעה מכירות במזומן בהיקף של 200,000 ש״ח.</t>
  </si>
  <si>
    <t>החברה ביצעה מכירות נוספות בהיקף של 800,000 ש״ח, מתוכן 350,000 ש״ח במזומן והיתרה באשראי.</t>
  </si>
  <si>
    <t>החברה העניקה הנחות ללקוחות שטרם שילמו, בסכום של 20,000 ש״ח.</t>
  </si>
  <si>
    <t xml:space="preserve">לקוחות אלו טרם שילמו לחברה. </t>
  </si>
  <si>
    <t xml:space="preserve">החברה גבתה מלקוחות במזומן בגין חוב סכום של 220,000 ש״ח. </t>
  </si>
  <si>
    <t xml:space="preserve">שיעור ההלח״מ 17%. </t>
  </si>
  <si>
    <t>שנת 2023</t>
  </si>
  <si>
    <t>החברה ביצעה מכירות באשראי בהיקף של 900,000 ש״ח.</t>
  </si>
  <si>
    <t xml:space="preserve">החברה גבתה מלקוחות בגין מכירות באשראי סכום של 700,000 ש״ח. </t>
  </si>
  <si>
    <t>החברה גילתה ורשמה חובות אבודים בסכום של 21,000 ש״ח.</t>
  </si>
  <si>
    <t>לאור עלייה ברמת הסיכון הכוללת של הלקוחות.</t>
  </si>
  <si>
    <t xml:space="preserve">נדרש: הציגו בגישה שנלמדה את התנועות והערכים של הלקוחות ברוטו, הלח״מ, הוצאות הלח״מ. </t>
  </si>
  <si>
    <t xml:space="preserve">בנוסף, לתום כל אחת מהשנים, הציגו את הלקוחות נטו כפי שיוצגו בדוח על המצב הכספי. </t>
  </si>
  <si>
    <t>יתרות ל-31.12.2022</t>
  </si>
  <si>
    <t>מכירות באשראי</t>
  </si>
  <si>
    <t>הנחות ללקוחות</t>
  </si>
  <si>
    <r>
      <t xml:space="preserve">לקוחות שרכשו מוצרים ושירותים מהחברה בסכום של 45,000 ש״ח, החזירו </t>
    </r>
    <r>
      <rPr>
        <u/>
        <sz val="12"/>
        <color theme="1"/>
        <rFont val="David"/>
        <family val="2"/>
        <charset val="177"/>
      </rPr>
      <t>מחצית</t>
    </r>
    <r>
      <rPr>
        <sz val="12"/>
        <color theme="1"/>
        <rFont val="David"/>
        <family val="2"/>
        <charset val="177"/>
      </rPr>
      <t xml:space="preserve"> מרכישתם לחברה. </t>
    </r>
  </si>
  <si>
    <t>גבייה מלקוח</t>
  </si>
  <si>
    <t>נכון ליום 31.12.2023, החברה מעריכה כי בגין 80% מהלקוחות שיעור ההלח״מ 7%, ובגין כל יתר הלקוחות</t>
  </si>
  <si>
    <t>להלן נתונים בדבר עסקאות ואירועים שהתרחשו בחברה בשנים 2023, 2024:</t>
  </si>
  <si>
    <t>יתרות ל-31.12.2023</t>
  </si>
  <si>
    <t>שנת 2024</t>
  </si>
  <si>
    <t>נכון ליום 31.12.2024 החברה מעריכה את שיעור ההלח״מ לפי 16% מיתרת הלקוחות המעודכנת למועד זה,</t>
  </si>
  <si>
    <t>יתרות ל-31.12.2024</t>
  </si>
  <si>
    <t>לקוחות, נטו (להצגה במאזן)</t>
  </si>
  <si>
    <t>שאלה לדוגמה - הון עצמי</t>
  </si>
  <si>
    <t xml:space="preserve">חברת ״כל דבר אפשר להכניס לנקניק״ בע״מ מנוהלת על ידי איש העסקים חוסני. </t>
  </si>
  <si>
    <t>להלן נתונים בדבר יתרות ההון העצמי בחברה ליום 31.12.2022:</t>
  </si>
  <si>
    <t>הון מניות 1 ש״ח ערך נקוב</t>
  </si>
  <si>
    <t>הון מניות 2 ש״ח ערך נקוב</t>
  </si>
  <si>
    <t>להלן נתונים בדבר עסקאות ואירועים בחברה בשנת 2023:</t>
  </si>
  <si>
    <t>א. החברה הנפיקה 200,000 מניות בנות 1 ש״ח ערך נקוב כל אחת, תמורת ההנפקה: 270,000 ש״ח, עלויות</t>
  </si>
  <si>
    <t>ההנפקה הסתכמו ב-10% מתמורת ההנפקה ברוטו.</t>
  </si>
  <si>
    <t>ב. החברה הנפיקה 30,000 מניות בנות 3 ש״ח ערך נקוב כל אחת, תמורת ההנפקה: 400,000 ש״ח, עלויות</t>
  </si>
  <si>
    <t>ההנפקה: 50,000 ש״ח.</t>
  </si>
  <si>
    <t>ג. בוצע פיצול מניות, כך שכל המחזיק במניה בת 2 ש״ח ערך נקוב קיבל במקומה 2 מניות בנות 1 ש״ח ערך נקוב.</t>
  </si>
  <si>
    <t>ד. החברה הנפיקה מניות הטבה בשיעור 5%.</t>
  </si>
  <si>
    <t>ה. רווחי החברה ב-2023 הסתכמו ברמת הרווח הנקי ב-440,000 ש״ח.</t>
  </si>
  <si>
    <t>ו. החברה הכריזה דיבידנד בסכום של 300,000 ש״ח, מתוכו שילמה עד לתום השנה 100,000 ש״ח. היתרה תשולם בשנה הבאה.</t>
  </si>
  <si>
    <t xml:space="preserve">נדרש: ערכו את הדוח על השינויים בהון העצמי בחברה לשנת 2023. </t>
  </si>
  <si>
    <t>הון מניות 1</t>
  </si>
  <si>
    <t>יתרות פתיחה - 31.12.2022</t>
  </si>
  <si>
    <t>א - הנפקת מניות 1 ש״ח</t>
  </si>
  <si>
    <t>ב - הנפקת מניות 3 ש״ח</t>
  </si>
  <si>
    <t>הון מניות 3</t>
  </si>
  <si>
    <t>ג - פיצול מניות</t>
  </si>
  <si>
    <t>ד - הנפקת הטבה 5%</t>
  </si>
  <si>
    <t>ה - רווח נקי</t>
  </si>
  <si>
    <t>ו - דיבידנד שהוכרז</t>
  </si>
  <si>
    <t>יתרות סגירה - 31.12.2023</t>
  </si>
  <si>
    <t>שאלת רכוש קבוע מורכבת - הדגמה  נוספת</t>
  </si>
  <si>
    <t>נקניק נוי</t>
  </si>
  <si>
    <t>מכונה לטחינת ציפורניים</t>
  </si>
  <si>
    <t>חברת ״השופט״ בע״מ העוסקת בייצור נקניק הציגה ב-31.12.2025 את נתוני הרכוש הקבוע הבאים:</t>
  </si>
  <si>
    <t>נקניק נוי:</t>
  </si>
  <si>
    <t xml:space="preserve">הפך לזמין לשימוש בחלוף 4 חודשים מרכישתו, אך הופעל בחלוף 7 חודשים מרכישתו. </t>
  </si>
  <si>
    <t xml:space="preserve">החברה הפקידה בבנק 30% מהכסף שהתקבל כתמורה, וביתרה רכשה נקניק נוי קטן יותר, שמופחת על 5 שנים </t>
  </si>
  <si>
    <t>ללא ערך שייר / גרט.</t>
  </si>
  <si>
    <t>מכונה:</t>
  </si>
  <si>
    <t>הפך לזמין לשימוש מיד ברכישה, החברה מכרה 30% מהפריט ברווח הון של 3,000 ש״ח והשתמשה</t>
  </si>
  <si>
    <t>בתמורה לרכוש מכונה נוספת שמופחתת לפי אותם פרמטרים בדיוק - המכירה בוצעה ב-1.10.2026.</t>
  </si>
  <si>
    <t>חשבו והציגו בגין כל פריט בנפרד את:</t>
  </si>
  <si>
    <t>הנקניק נמכר ב-30.9.2026 בתמורה המהווה 80% מעלותו המופחתת לאותו היום.</t>
  </si>
  <si>
    <t xml:space="preserve">הוצאות הפחת ב-2026, רווח ההון במכירה, העלות המופחתת (עלות, פחת נצבר וההפרש ביניהם) ליום 31.12.2026. </t>
  </si>
  <si>
    <t>התייחסות לנקניק הנוי</t>
  </si>
  <si>
    <t>התייחסות למכונות טחינת ציפורניים</t>
  </si>
  <si>
    <t>נתחיל מניסיון לחלץ את החסר - עלות הרכישה של נקניק הנוי ב-31.12.2025.</t>
  </si>
  <si>
    <t>בשאלה יש נתונים לגבי הפחת הנצבר בגינו. ולפי ההגדרה, בשיטת הקו הישר,</t>
  </si>
  <si>
    <t>הפחת הנצבר: פחת לשנה אחת כפול מספר השנים ממועד הזמינות עד מועד החישוב.</t>
  </si>
  <si>
    <t>הפריט נרכש ב-1.1.2022, אך הפך לזמין לשימוש רק 4 חודשים לאחר מכן, כלומר</t>
  </si>
  <si>
    <t>הפחתתו מתחילה ב-1.5.2022.</t>
  </si>
  <si>
    <t>(X - 5,000)/10 * (3 + 8/12) = 40,000</t>
  </si>
  <si>
    <t>מה זה?</t>
  </si>
  <si>
    <t>עלות לא ידועה - X</t>
  </si>
  <si>
    <t>שייר / גרט: 5,000</t>
  </si>
  <si>
    <t>פרק הזמן שחלף בשנים ממועד הזמינות 1.5.2022 עד מועד עדכון הנתונים</t>
  </si>
  <si>
    <t>בטבלה 31.12.2025: 3 שנים ו-8 חודשים, לכן 8/12 + 3</t>
  </si>
  <si>
    <t xml:space="preserve">ה-40,000: הפחת הנצבר ל-31.12.2025. </t>
  </si>
  <si>
    <t xml:space="preserve">תקופת הפחתה (קו ישר): 10 ולכן חילקנו ב-10. </t>
  </si>
  <si>
    <t>המשוואה שמגדירה את הפחת הנצבר בגין הנקניק ליום 31.12.2025:</t>
  </si>
  <si>
    <t>מתוך המשוואה אפשר לחלץ את העלות X:</t>
  </si>
  <si>
    <t>X = 114,090</t>
  </si>
  <si>
    <t>הוצאות פחת (לרבות חילוץ העלות של הפריט כשלב מקדים):</t>
  </si>
  <si>
    <t>על פי נתוני השאלה, תכל׳ס, במהלך 2026, היו אצלי שני פריטים:</t>
  </si>
  <si>
    <t>הוצאות פחת בגין נקניק ישן (X) מ-1.1.2026 עד מכירתו ב-30.9.2026:</t>
  </si>
  <si>
    <t>הוצאות פחת בגין נקניק חדש מ-30.9.2026 (מועד רכישתו) עד סוף השנה:</t>
  </si>
  <si>
    <t>הסבר - פחת בגין נקניק ישן:</t>
  </si>
  <si>
    <t xml:space="preserve">כדי להבין כיצד מופחת הנקניק החדש, צריך לדעת מה עלותו. </t>
  </si>
  <si>
    <t>בשאלה ציינו שהחברה מכרה את הנקניק הישן בתמורה ל-80% מעלותו המופחתת לאותו היום.</t>
  </si>
  <si>
    <t>ושבעים אחוז מתמורת המכירה (כי 30% הפקידה בבנק) שימשו אותה לקניית נקניק חדש.</t>
  </si>
  <si>
    <t>העלות המופחתת של הנקניק שנמכר:</t>
  </si>
  <si>
    <t>הסבר - פחת נצבר נקניק שנמכר:</t>
  </si>
  <si>
    <t xml:space="preserve">40,000 + 8,182 = (114,090 - 5,000)/10 * (4 + 5/12) </t>
  </si>
  <si>
    <t>הביטוי הראשון מציג את הפחת הנצבר ל-31.12.2025, בתוספת הפחת הנוסף עד המכירה שחישבנו.</t>
  </si>
  <si>
    <t>הביטוי השני (אגף ימין) שמוביל לאותה תוצאה (וכל אחד יבחר איך הוא רוצה) מחשב את הפחת הנצבר</t>
  </si>
  <si>
    <t>לפי עלות בניכוי שייר חלקי שנות פחת, כפול מס׳ השנים שחלפו ממועד הזמינות 1.5.2022 עד מועד</t>
  </si>
  <si>
    <t xml:space="preserve">החישוב 30.9.2026. </t>
  </si>
  <si>
    <t>תמורת המכירה של הנקניק שנמכר מהווה 80% מעלותו המופחתת כנתון:</t>
  </si>
  <si>
    <t>65,908 * 80%=</t>
  </si>
  <si>
    <t>בניכוי עלות מופחתת</t>
  </si>
  <si>
    <t>הנקניק החדש נרכש ב-70% מתמורת המכירה, עלות הנקניק החדש:</t>
  </si>
  <si>
    <t xml:space="preserve">הנקניק הזה מופחת על פני 5 שנים, בלי גרט, החל מ-30.9.2026. </t>
  </si>
  <si>
    <t>לכן, החלק של הוצאות הפחת בגין הנקניק החדש הזה:</t>
  </si>
  <si>
    <t xml:space="preserve">36,909 / 5 * 3/12 = </t>
  </si>
  <si>
    <t xml:space="preserve">כאשר: 36,909 זו עלות הנקניק החדש. </t>
  </si>
  <si>
    <t>אין ערך שייר / גרט לנקניק החדש, לכן מופחתת במלואה.</t>
  </si>
  <si>
    <t xml:space="preserve">בשאלה נתון שהנקניק החדש מופחת על 5 שנים בלבד. </t>
  </si>
  <si>
    <t xml:space="preserve">אבל הואיל ונרכש רק ב-30.9.2026 הפחתתו עד סוף השנה היא על 3 חודשים. </t>
  </si>
  <si>
    <t>52,727 * 70% =</t>
  </si>
  <si>
    <r>
      <t xml:space="preserve">(114,090 - 5,000)/10 * (9/12) = </t>
    </r>
    <r>
      <rPr>
        <sz val="12"/>
        <color rgb="FF0070C0"/>
        <rFont val="David"/>
        <family val="2"/>
        <charset val="177"/>
      </rPr>
      <t>8,182</t>
    </r>
  </si>
  <si>
    <t>סך הכל הוצאות פחת בגין נקניקי נוי ב-2026</t>
  </si>
  <si>
    <t>אופן הצגת העלות המופחתת של נקניקי נוי ל-31/12/2026</t>
  </si>
  <si>
    <t>העלות המופחתת עליה מדווחים בכל תאריך היא תמיד העלות בניכוי הפחת הנצבר של הפריטים שעדיין</t>
  </si>
  <si>
    <t xml:space="preserve">אצלי - הפריטים שלא נמכרו. הפריטים שנמכרו מתאפסים. </t>
  </si>
  <si>
    <t>לכן, כדי להציג עלות מופחתת, לא נצטרך להתייחס בכלל לנקניק הישן (שעלה 114,000) אלא רק לנקניק</t>
  </si>
  <si>
    <t>החדש, שנרכש השנה, בעלות של 36,909, וספג השנה פחת שזהה לפחת הנצבר:</t>
  </si>
  <si>
    <t>נקניקי נוי - עלות</t>
  </si>
  <si>
    <t>נקניקי נוי - פחת נצבר</t>
  </si>
  <si>
    <t>נקניקי נוי - עלות מופחתת</t>
  </si>
  <si>
    <t>תקציר שלבי העבודה שעבורם יישמתי את השאלה לגבי נקניקי הנוי:</t>
  </si>
  <si>
    <t xml:space="preserve">א. על פי נתון הפחת הנצבר, חילצתי את עלות הפריטים שהתקיימו ל-31.12.2025. </t>
  </si>
  <si>
    <t xml:space="preserve">ב. חישבתי הוצאות פחת בגין פריטים אלו (שׁהתקיימו ל-31.12.2025) עד מכירתם 30.9.2026. </t>
  </si>
  <si>
    <t xml:space="preserve">ג. חישבתי את עלותם המופחתת של פריטים אלו במועד מכירתם 30.9.2026. </t>
  </si>
  <si>
    <t xml:space="preserve">ד. חישבתי את תמורת מכירתם (שהיא 80% מעלות מופחתת זו) ואת עלות הפריטים החדשים שנרכשו. </t>
  </si>
  <si>
    <t xml:space="preserve">ה. חישבתי הוצאות פחת על הפריטים החדשים שנרכשו ואת סך הוצאות הפחת (כולל אלו משלב ב). </t>
  </si>
  <si>
    <t xml:space="preserve">ו. העלות המופחתת כללה אך ורק את הנקניק שטרם נמכר (החדש) בניכוי הפחת הנצבר בגינו. </t>
  </si>
  <si>
    <t xml:space="preserve">מופחתת בסכום ספרות: </t>
  </si>
  <si>
    <t>כאשר אני רוצה לחשב את הוצאות הפחת, עליי להתייחס לחלקים הבאים:</t>
  </si>
  <si>
    <t>הוצאות פחת - פריטים ישנים שהיו אצלי כל השנה:</t>
  </si>
  <si>
    <t>הוצאות פחת - פריטים ישנים שנמכרו ב-1.10.2026:</t>
  </si>
  <si>
    <t>מכונת טחינת ציפורניים - פירוט ספרות</t>
  </si>
  <si>
    <t xml:space="preserve">700,000 * 70% * (6*2/12 + 5*10/12)/36 = </t>
  </si>
  <si>
    <t xml:space="preserve">700,000 * 30% * (6*2/12 + 5*7/12)/36 = </t>
  </si>
  <si>
    <t>פחת פריטים ישנים שלא נמכרו (כי נתון שרק 30% נמכרו):</t>
  </si>
  <si>
    <t>מדובר ב-70% מסך הפריטים, שעלו 70% מ-700,000 עלות כוללת.</t>
  </si>
  <si>
    <t xml:space="preserve">הם מופחתים לפי סכום ספרות של 36. </t>
  </si>
  <si>
    <t>הספרות הרלוונטיות ב-2026 (ראו טבלה) הן: הספרה 6 - מ-1.1.2026 עד 1.3.2026 (חודשיים, לכן 2/12 * 6)</t>
  </si>
  <si>
    <t>הספרה 5 - מ-1.3.2026 עד 31.12.2026 (10 חודשים, לכן 10/12 * 5)</t>
  </si>
  <si>
    <t>פחת פריטים ישנים שנמכרו (30%):</t>
  </si>
  <si>
    <t>מדובר ב-30% מסך הפריטים שעלו 30% מ-700,000 עלות כוללת.</t>
  </si>
  <si>
    <t>הספרות הרלוונטיות עבורם - רק עד מכירתם הן: הספרה 6 - מ1.1.2026 עד 1.3.2026 (חודשיים, לכן 2/12 * 6)</t>
  </si>
  <si>
    <t>הספרה 5 - מ-1.3.2026 עד המכירה 1.10.2026 (7 חודשים, לכן 7/12 * 5)</t>
  </si>
  <si>
    <t>פחת פריטים חדשים - אני צריך לגלות את עלותם תחילה.</t>
  </si>
  <si>
    <t xml:space="preserve">עלותם היא התמורה ממכירת הפריטים הישנים. </t>
  </si>
  <si>
    <t>עלות מופחתת פריטים ישנים שנמכרו:</t>
  </si>
  <si>
    <t xml:space="preserve">700,000 * 30% = </t>
  </si>
  <si>
    <t xml:space="preserve">700,000 * 30% * (8+7+6+5*7/12)/36 = </t>
  </si>
  <si>
    <t>הסבר - פחת נצבר פריטים שנמכרו:</t>
  </si>
  <si>
    <t xml:space="preserve">הפריטים שנמכרו עלו 700,000 כפול 30%. </t>
  </si>
  <si>
    <t>כדי לחשב פחת נצבר בסכום ספרות עליי להתייחס לכל הספרות של הפחת עבור השנים שחלפו, מדובר בפרק</t>
  </si>
  <si>
    <t xml:space="preserve">הזמן בשנים מ-1.3.2023 עד מועד המכירה 1.10.2026. </t>
  </si>
  <si>
    <t xml:space="preserve">מדובר ב-3 שנים שלמות: 8, 7, 6 ובנוסף 7 חודשים מהספרה 5 בשנת 2026. </t>
  </si>
  <si>
    <t>את העלות המופחתת ערב המכירה חישבנו כי נתון שתמורת המכירה היא עלות הפריט החדש להפחתה.</t>
  </si>
  <si>
    <t>עלות מופחתת פריט שנמכר</t>
  </si>
  <si>
    <t xml:space="preserve">שווה לרווח הון נתון </t>
  </si>
  <si>
    <t>מכך נסיק:</t>
  </si>
  <si>
    <t>זו גם עלות הפריט החדש להפחתה</t>
  </si>
  <si>
    <t>הוצאות פחת - פריטים חדשים מרכישתם 1.10 עד סוף שנה:</t>
  </si>
  <si>
    <t>עלות הרכישה של הפריט החדש,</t>
  </si>
  <si>
    <t>שזהה כנתון לתמורה ממכירת הפריט</t>
  </si>
  <si>
    <t>הישן - חושבה בצורה מפורטת למטה</t>
  </si>
  <si>
    <r>
      <rPr>
        <b/>
        <sz val="12"/>
        <color rgb="FFFF0000"/>
        <rFont val="David"/>
        <family val="2"/>
        <charset val="177"/>
      </rPr>
      <t>73,486</t>
    </r>
    <r>
      <rPr>
        <sz val="12"/>
        <color theme="1"/>
        <rFont val="David"/>
        <family val="2"/>
        <charset val="177"/>
      </rPr>
      <t xml:space="preserve"> * (8 * 3/12)  / 36 = </t>
    </r>
  </si>
  <si>
    <t>הואיל והפריט מופחת על</t>
  </si>
  <si>
    <t>תקופה של 8 שנים באופן</t>
  </si>
  <si>
    <t xml:space="preserve">זהה, וזו שנת הפחת </t>
  </si>
  <si>
    <t>הראשונה שלו, הספרה 8</t>
  </si>
  <si>
    <t>סך הוצאות הפחת מכונות טחינת ציפורניים 2026</t>
  </si>
  <si>
    <t>הצגת העלות המופחתת:</t>
  </si>
  <si>
    <t xml:space="preserve">העלות המופחתת תמיד כוללת רק את הפריטים שלא נמכרו. </t>
  </si>
  <si>
    <t>הפריטים שלא נמכרו כאמור הם: 70% מהפריטים המקוריים, וכן הפריטים החדשים.</t>
  </si>
  <si>
    <t>מקוריים</t>
  </si>
  <si>
    <t>חדשים</t>
  </si>
  <si>
    <t>הסברים מפורטים:</t>
  </si>
  <si>
    <t>חושב למעלה</t>
  </si>
  <si>
    <t>מה הפחת הנצבר מ-1.3.2023 עד 31.12.2026:</t>
  </si>
  <si>
    <t xml:space="preserve">70% * 700,000 * (8 + 7 + 6 + 5 * 10/12) / 36 = </t>
  </si>
  <si>
    <r>
      <t xml:space="preserve">עלות: </t>
    </r>
    <r>
      <rPr>
        <u/>
        <sz val="12"/>
        <color theme="1"/>
        <rFont val="David"/>
        <family val="2"/>
        <charset val="177"/>
      </rPr>
      <t>עלות הפריטים החדשים</t>
    </r>
    <r>
      <rPr>
        <sz val="12"/>
        <color theme="1"/>
        <rFont val="David"/>
        <family val="2"/>
        <charset val="177"/>
      </rPr>
      <t xml:space="preserve"> חושבה בגין המכירה - </t>
    </r>
    <r>
      <rPr>
        <b/>
        <sz val="12"/>
        <color rgb="FFFF0000"/>
        <rFont val="David"/>
        <family val="2"/>
        <charset val="177"/>
      </rPr>
      <t>73,486</t>
    </r>
  </si>
  <si>
    <r>
      <rPr>
        <u/>
        <sz val="12"/>
        <color theme="1"/>
        <rFont val="David"/>
        <family val="2"/>
        <charset val="177"/>
      </rPr>
      <t>עלות הפריטים המקוריים</t>
    </r>
    <r>
      <rPr>
        <sz val="12"/>
        <color theme="1"/>
        <rFont val="David"/>
        <family val="2"/>
        <charset val="177"/>
      </rPr>
      <t xml:space="preserve"> - מדובר רק באלו שלא נמכרו, שמהווים 70% מהעלות הכוללת של 700,000 = </t>
    </r>
    <r>
      <rPr>
        <b/>
        <sz val="12"/>
        <color theme="1"/>
        <rFont val="David"/>
        <family val="2"/>
        <charset val="177"/>
      </rPr>
      <t>490,000</t>
    </r>
    <r>
      <rPr>
        <sz val="12"/>
        <color theme="1"/>
        <rFont val="David"/>
        <family val="2"/>
        <charset val="177"/>
      </rPr>
      <t xml:space="preserve"> = 70% * 700,000</t>
    </r>
  </si>
  <si>
    <r>
      <t xml:space="preserve">פחת נצבר: </t>
    </r>
    <r>
      <rPr>
        <u/>
        <sz val="12"/>
        <color theme="1"/>
        <rFont val="David"/>
        <family val="2"/>
        <charset val="177"/>
      </rPr>
      <t>פחת נצבר פריטים חדשים</t>
    </r>
    <r>
      <rPr>
        <sz val="12"/>
        <color theme="1"/>
        <rFont val="David"/>
        <family val="2"/>
        <charset val="177"/>
      </rPr>
      <t xml:space="preserve"> = הואיל ונרכשו השנה, הפחת הנצבר בגינם זהה להוצאות הפחת שרשמנו עליהם. </t>
    </r>
  </si>
  <si>
    <r>
      <rPr>
        <u/>
        <sz val="12"/>
        <color theme="1"/>
        <rFont val="David"/>
        <family val="2"/>
        <charset val="177"/>
      </rPr>
      <t>פחת נצבר פריטים ישנים</t>
    </r>
    <r>
      <rPr>
        <sz val="12"/>
        <color theme="1"/>
        <rFont val="David"/>
        <family val="2"/>
        <charset val="177"/>
      </rPr>
      <t xml:space="preserve"> = 70% מפריטים שעלו 700,000, שמופחתים על 8 שנים, סס״י, בלי גרט. </t>
    </r>
  </si>
  <si>
    <t xml:space="preserve">73,486 * (8 * 3/12) / 36= </t>
  </si>
  <si>
    <t>שאלה בנושא רכוש קבוע - שימו לב - תהיה מורכבת (ראו השראה גם בשאלה ממבחן שהצגנו בשיעור קודם חלק ב) וגם שתי</t>
  </si>
  <si>
    <t xml:space="preserve">השאלות המורכבות שמוצגות במערך שיעור זה. הראשונה - נפתרה עם קב׳ 9:15, השניה - נפתרה עם קבוצת סונסינו 12:15. </t>
  </si>
  <si>
    <t xml:space="preserve">לשתי השאלות הללו פתרונות מאד מפורטים עם הקלטות. </t>
  </si>
  <si>
    <t>משקל שאלת הרכוש הקבוע במבחן: 16%</t>
  </si>
  <si>
    <t xml:space="preserve">זו השאלה היחידה שהיא מורכבת בחלק ב. </t>
  </si>
  <si>
    <t xml:space="preserve">זו השאלה היחידה שהיא מורכבת בחלק ב. חישוב </t>
  </si>
  <si>
    <r>
      <t>כלכליות, בעיקר בהקשר להקצאת משאבים לישות [</t>
    </r>
    <r>
      <rPr>
        <b/>
        <sz val="16"/>
        <rFont val="David"/>
      </rPr>
      <t>החברה</t>
    </r>
    <r>
      <rPr>
        <sz val="12"/>
        <rFont val="David"/>
        <family val="2"/>
        <charset val="177"/>
      </rPr>
      <t>] המדווחת.</t>
    </r>
  </si>
  <si>
    <t>חברה &gt;&gt;&gt; סוג של עסק</t>
  </si>
  <si>
    <t>מה עסק רוצה &gt;&gt;&gt; לפעול ולהתפתח</t>
  </si>
  <si>
    <t>מה הוא צריך לשם כך &gt;&gt;&gt; כסף</t>
  </si>
  <si>
    <t>מאיפה מגיע הכסף &gt;&gt;&gt; משקיעים</t>
  </si>
  <si>
    <t>איך משקיעים ידעו אם להשקיע &gt;&gt;&gt; מידע</t>
  </si>
  <si>
    <t>איזה מידע &gt;&gt;&gt; דוחות חשבונאיים</t>
  </si>
  <si>
    <t>לכן זה חשוב!!!</t>
  </si>
  <si>
    <t>אז אוקיי, צריך מידע חשבונאי - כדי להצדיק השקעות ולאפשר לעסקים להתפתח - איזה מידע זה?</t>
  </si>
  <si>
    <t>מה ההכנסות? מה ההוצאות? מה הרווח</t>
  </si>
  <si>
    <t>המצב הכספי כרגע: נכסים &lt;&gt; התחייבויות</t>
  </si>
  <si>
    <r>
      <t xml:space="preserve">נתחיל בהתמקדות </t>
    </r>
    <r>
      <rPr>
        <b/>
        <sz val="12"/>
        <rFont val="David"/>
      </rPr>
      <t>בדוח</t>
    </r>
    <r>
      <rPr>
        <sz val="12"/>
        <rFont val="David"/>
        <family val="2"/>
        <charset val="177"/>
      </rPr>
      <t xml:space="preserve"> רווח והפסד</t>
    </r>
  </si>
  <si>
    <t>דוח = מסמך (מידע). הוא מראה הכנסות, הוצאות ואת ההפרש ביניהן (רווח או הפסד)</t>
  </si>
  <si>
    <t>בחלוקה לתחומי פעילות - לפי קטגוריות (למשל - הכנסות ממכירות / הכנסות מריבית).</t>
  </si>
  <si>
    <t>הדוח תמיד מראה ערכים לתקופה (שנה).</t>
  </si>
  <si>
    <r>
      <t xml:space="preserve">א. </t>
    </r>
    <r>
      <rPr>
        <b/>
        <sz val="12"/>
        <rFont val="David"/>
        <family val="2"/>
        <charset val="177"/>
      </rPr>
      <t>ביצועים = תוצאות הפעילות</t>
    </r>
    <r>
      <rPr>
        <sz val="12"/>
        <rFont val="David"/>
        <family val="2"/>
        <charset val="177"/>
      </rPr>
      <t xml:space="preserve"> = הביצועים של החברה: חיוביים.             </t>
    </r>
    <r>
      <rPr>
        <b/>
        <sz val="12"/>
        <color rgb="FFFF0000"/>
        <rFont val="David"/>
      </rPr>
      <t>- יוצרי ערך (הכנסות - למשל מכירות או מתן שירות)</t>
    </r>
  </si>
  <si>
    <r>
      <rPr>
        <b/>
        <sz val="12"/>
        <color theme="0"/>
        <rFont val="David"/>
      </rPr>
      <t>,</t>
    </r>
    <r>
      <rPr>
        <b/>
        <sz val="12"/>
        <color rgb="FFFF0000"/>
        <rFont val="David"/>
      </rPr>
      <t>- צורכים ערך (הוצאות - צריכת שירותים ומשאבים)</t>
    </r>
  </si>
  <si>
    <t>מדובר ב-108,000 שווי ל-3 שנים</t>
  </si>
  <si>
    <t>אם לא נאמר אחרת: בכל שנה</t>
  </si>
  <si>
    <t>צרכו 1/3 מזה.</t>
  </si>
  <si>
    <r>
      <t xml:space="preserve">נדרש: בהנחה שלא חודש הביטוח, מהו סכום </t>
    </r>
    <r>
      <rPr>
        <u/>
        <sz val="12"/>
        <rFont val="David"/>
        <family val="2"/>
        <charset val="177"/>
      </rPr>
      <t>הוצאות הביטוח</t>
    </r>
    <r>
      <rPr>
        <sz val="12"/>
        <rFont val="David"/>
        <family val="2"/>
        <charset val="177"/>
      </rPr>
      <t xml:space="preserve"> שיוכרו בדוחות הכספיים של השנים 2022 ו-2023 בהתאמה?</t>
    </r>
  </si>
  <si>
    <t>תשובה: ברווח והפסד, חייבים לדווח על כל שנה קלנדרית בנפרד.</t>
  </si>
  <si>
    <t xml:space="preserve">כלומר: הביטוח הוא עבור 1.7.2022 - 1.7.2023, </t>
  </si>
  <si>
    <t xml:space="preserve">אך עליי לדווח על: 2022 (בנפרד); 2023 (בנפרד). </t>
  </si>
  <si>
    <t xml:space="preserve">ההוצאה בכל אחת משנים אלו = </t>
  </si>
  <si>
    <t>שווי שירותי הביטוח של אותה שנה.</t>
  </si>
  <si>
    <r>
      <t>הדוח על המצב הכספי (בעבר נקרא ״</t>
    </r>
    <r>
      <rPr>
        <b/>
        <sz val="12"/>
        <rFont val="David"/>
      </rPr>
      <t>מאזן</t>
    </r>
    <r>
      <rPr>
        <sz val="12"/>
        <rFont val="David"/>
        <family val="2"/>
        <charset val="177"/>
      </rPr>
      <t>״) = כי סך הנכסים שווים לסך ההתחייבויותו וההון העצמי</t>
    </r>
  </si>
  <si>
    <t xml:space="preserve">בחלק הראשון של השיעור = </t>
  </si>
  <si>
    <t>הגדרנו הכנסות והוצאות (שווי פעילות שבוצעה)</t>
  </si>
  <si>
    <t xml:space="preserve">בחלק השני של השיעור = </t>
  </si>
  <si>
    <t xml:space="preserve">אמרנו שישנם גם פריטים אחרים - נכסים, </t>
  </si>
  <si>
    <t xml:space="preserve">התחייבויות והון. </t>
  </si>
  <si>
    <t>מה שאני רוצה כעת זה שנתרגל - על מגוון רחב</t>
  </si>
  <si>
    <t>של דוגמאורת - לאיזו הגדרה חופף כל מושג.ֿ</t>
  </si>
  <si>
    <t>כמה הערות קטנות:</t>
  </si>
  <si>
    <t>א. הון עצמי משמעו - מקור מימון (כסף שהגיע)</t>
  </si>
  <si>
    <t xml:space="preserve">מבעלים או מרווחים של שנים קודמות. </t>
  </si>
  <si>
    <t>ב. פריטים שצפויים לשרת את החברה תקופה</t>
  </si>
  <si>
    <t xml:space="preserve">ממושכת - מכונות, ציוד, ריהוט, מחשבים - </t>
  </si>
  <si>
    <t>הם נכסים; פריטים מתכלים (כיבודים, ציוד</t>
  </si>
  <si>
    <t>משרדי מתכלה כמו עטים ודפים) הם הוצאות.</t>
  </si>
  <si>
    <t>ג. מלאי לסוף שנה = מלאי שקיים במחסן במועד</t>
  </si>
  <si>
    <t>הדיווח, הוא נכס.</t>
  </si>
  <si>
    <t>ד. לקוחות = חוב של לקוחות החברה כלפיה.</t>
  </si>
  <si>
    <t>כשחייבים לנו = זה נכס.</t>
  </si>
  <si>
    <t>ג. הניחו שהסכום שולם במלואו במועד חתימת ההסכם, וידוע שהחברה צרכה 60% מהשירות בשנת 2022, ואת היתרה</t>
  </si>
  <si>
    <t xml:space="preserve">באופן כללי - אנחנו מכירים הרבה ״הוצאות״ = הוצאות חשמל, טלפון, קניות, כיבודים ועוד. </t>
  </si>
  <si>
    <t>כדי להסדיר דיווח כספי הגיוני - מחלקים את ההוצאות (וגם את ההכנסות) לקטגוריות [סוגים].</t>
  </si>
  <si>
    <t>ספציפית - אם נביט על שני הסוגים העיקריים של הכנסות והוצאות בחברה, הם כוללים:</t>
  </si>
  <si>
    <t>הכנסות נטו ממכירות של מוצרים.</t>
  </si>
  <si>
    <t>עלות המכר:</t>
  </si>
  <si>
    <t xml:space="preserve">עלות המוצרים שנמכרו. </t>
  </si>
  <si>
    <t>קיימים סוגים נוספים של הכנסות והוצאות</t>
  </si>
  <si>
    <t>אך נתמקד בשני אלו בתור התחלה</t>
  </si>
  <si>
    <t xml:space="preserve">הכנסות - </t>
  </si>
  <si>
    <t>סך המכירות שבוצעו (קרוב לסך החשבוניות)</t>
  </si>
  <si>
    <r>
      <t>מכירות ״</t>
    </r>
    <r>
      <rPr>
        <u/>
        <sz val="12"/>
        <color theme="1"/>
        <rFont val="David"/>
      </rPr>
      <t>ברוטו</t>
    </r>
    <r>
      <rPr>
        <sz val="12"/>
        <color theme="1"/>
        <rFont val="David"/>
        <family val="2"/>
        <charset val="177"/>
      </rPr>
      <t>״</t>
    </r>
  </si>
  <si>
    <r>
      <t xml:space="preserve">מכירות ״נטו״ = </t>
    </r>
    <r>
      <rPr>
        <b/>
        <sz val="12"/>
        <color rgb="FFFF0000"/>
        <rFont val="David"/>
      </rPr>
      <t>מכירות</t>
    </r>
  </si>
  <si>
    <r>
      <rPr>
        <u/>
        <sz val="12"/>
        <color theme="1"/>
        <rFont val="David"/>
        <family val="2"/>
        <charset val="177"/>
      </rPr>
      <t>השיטה התמידית</t>
    </r>
    <r>
      <rPr>
        <sz val="12"/>
        <color theme="1"/>
        <rFont val="David"/>
        <family val="2"/>
        <charset val="177"/>
      </rPr>
      <t xml:space="preserve"> - </t>
    </r>
    <r>
      <rPr>
        <u/>
        <sz val="12"/>
        <color theme="1"/>
        <rFont val="David"/>
      </rPr>
      <t>לא תחייב</t>
    </r>
    <r>
      <rPr>
        <sz val="12"/>
        <color theme="1"/>
        <rFont val="David"/>
        <family val="2"/>
        <charset val="177"/>
      </rPr>
      <t xml:space="preserve"> בקורס הזה - כל פריט שנמכר - ארשום את עלותו ב״עלות המכירות״.</t>
    </r>
  </si>
  <si>
    <r>
      <rPr>
        <b/>
        <u/>
        <sz val="12"/>
        <color theme="1"/>
        <rFont val="David"/>
      </rPr>
      <t>השיטה התקופתית</t>
    </r>
    <r>
      <rPr>
        <b/>
        <sz val="12"/>
        <color theme="1"/>
        <rFont val="David"/>
      </rPr>
      <t xml:space="preserve"> - היחידה המחייבת בקורס:</t>
    </r>
  </si>
  <si>
    <t>278+x</t>
  </si>
  <si>
    <t>בקצרה: מסיווג ערכים לדוחות מלאים - בהדגש דוח רווח והפסד - זו המטרה של המפגש שלנו!</t>
  </si>
  <si>
    <t>דוח רווח והפסד הוא דוח כספי חשוב במיוחד בחברות; הוא מציג את ההכנסות ואת ההוצאות בצורה מסוכמת,</t>
  </si>
  <si>
    <t>מסודרת - כשכל הכנסה / הוצאה מסווגת לקטגוריה מתאימה.</t>
  </si>
  <si>
    <t>המבנה הכללי של דוח רווח והפסד בחברות שעליהן נדבר הסמסטר - חברות שמוכרות מוצרים:</t>
  </si>
  <si>
    <t>חלק מההכנסות - נזקפות ל:</t>
  </si>
  <si>
    <t>חלק מההוצאות - נזקפות ל:</t>
  </si>
  <si>
    <t>ולאחר מכן: סוגים נוספים של הכנסות והוצאות,</t>
  </si>
  <si>
    <t>שמופיעים בשורות נפרדות / סעיפים נפרדים.</t>
  </si>
  <si>
    <t xml:space="preserve">נציג בהמשך. </t>
  </si>
  <si>
    <t>קניות השנה: 200</t>
  </si>
  <si>
    <t>מלאי שיצא: 300-50=250</t>
  </si>
  <si>
    <t>הון מהטבלה, כולל עודפים 1.1</t>
  </si>
  <si>
    <t>הכנסות בניכוי הוצאות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</si>
</sst>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_);_(* \(#,##0\);_(* &quot;-&quot;??_);_(@_)"/>
    <numFmt numFmtId="165" formatCode="0.000"/>
    <numFmt numFmtId="166" formatCode="#,##0.000_);\(#,##0.000\)"/>
    <numFmt numFmtId="167" formatCode="0.0_);\(0.0\)"/>
    <numFmt numFmtId="168" formatCode="0_);\(0\)"/>
    <numFmt numFmtId="169" formatCode="0.00_);\(0.00\)"/>
    <numFmt numFmtId="170" formatCode="#,##0.0_);\(#,##0.0\)"/>
    <numFmt numFmtId="171" formatCode="#,##0.0"/>
    <numFmt numFmtId="172" formatCode="0.0"/>
  </numFmts>
  <fonts count="63" x14ac:knownFonts="1">
    <font>
      <sz val="12"/>
      <color theme="1"/>
      <name val="Calibri"/>
      <family val="2"/>
      <scheme val="minor"/>
    </font>
    <font>
      <sz val="12"/>
      <color theme="1"/>
      <name val="David"/>
      <family val="2"/>
      <charset val="177"/>
    </font>
    <font>
      <b/>
      <sz val="12"/>
      <color theme="1"/>
      <name val="David"/>
      <family val="2"/>
      <charset val="177"/>
    </font>
    <font>
      <sz val="12"/>
      <color rgb="FFFF0000"/>
      <name val="David"/>
      <family val="2"/>
      <charset val="177"/>
    </font>
    <font>
      <sz val="12"/>
      <color theme="0"/>
      <name val="David"/>
      <family val="2"/>
      <charset val="177"/>
    </font>
    <font>
      <b/>
      <sz val="28"/>
      <color theme="1"/>
      <name val="David"/>
      <family val="2"/>
      <charset val="177"/>
    </font>
    <font>
      <sz val="12"/>
      <name val="David"/>
      <family val="2"/>
      <charset val="177"/>
    </font>
    <font>
      <b/>
      <sz val="12"/>
      <name val="David"/>
      <family val="2"/>
      <charset val="177"/>
    </font>
    <font>
      <b/>
      <sz val="12"/>
      <color rgb="FFFF0000"/>
      <name val="David"/>
      <family val="2"/>
      <charset val="177"/>
    </font>
    <font>
      <sz val="11"/>
      <color theme="1"/>
      <name val="David"/>
      <family val="2"/>
      <charset val="177"/>
    </font>
    <font>
      <sz val="10"/>
      <color theme="1"/>
      <name val="David"/>
      <family val="2"/>
      <charset val="177"/>
    </font>
    <font>
      <u/>
      <sz val="12"/>
      <color theme="10"/>
      <name val="Calibri"/>
      <family val="2"/>
      <scheme val="minor"/>
    </font>
    <font>
      <u/>
      <sz val="12"/>
      <color theme="10"/>
      <name val="David"/>
      <family val="2"/>
      <charset val="177"/>
    </font>
    <font>
      <b/>
      <sz val="12"/>
      <color rgb="FF0070C0"/>
      <name val="David"/>
      <family val="2"/>
      <charset val="177"/>
    </font>
    <font>
      <u/>
      <sz val="12"/>
      <color theme="1"/>
      <name val="David"/>
      <family val="2"/>
      <charset val="177"/>
    </font>
    <font>
      <sz val="12"/>
      <color rgb="FF0070C0"/>
      <name val="David"/>
      <family val="2"/>
      <charset val="177"/>
    </font>
    <font>
      <b/>
      <sz val="14"/>
      <color theme="1"/>
      <name val="David"/>
      <family val="2"/>
      <charset val="177"/>
    </font>
    <font>
      <sz val="12"/>
      <color theme="1"/>
      <name val="Calibri"/>
      <family val="2"/>
      <scheme val="minor"/>
    </font>
    <font>
      <b/>
      <u/>
      <sz val="12"/>
      <color theme="1"/>
      <name val="David"/>
      <family val="2"/>
      <charset val="177"/>
    </font>
    <font>
      <u/>
      <sz val="12"/>
      <color rgb="FFFF0000"/>
      <name val="David"/>
      <family val="2"/>
      <charset val="177"/>
    </font>
    <font>
      <b/>
      <sz val="12"/>
      <color rgb="FF942092"/>
      <name val="David"/>
      <family val="2"/>
      <charset val="177"/>
    </font>
    <font>
      <b/>
      <sz val="16"/>
      <color theme="1"/>
      <name val="David"/>
      <family val="2"/>
      <charset val="177"/>
    </font>
    <font>
      <sz val="8"/>
      <color theme="1"/>
      <name val="David"/>
      <family val="2"/>
      <charset val="177"/>
    </font>
    <font>
      <b/>
      <u/>
      <sz val="12"/>
      <color rgb="FF0070C0"/>
      <name val="David"/>
      <family val="2"/>
      <charset val="177"/>
    </font>
    <font>
      <sz val="12"/>
      <color rgb="FF000000"/>
      <name val="David"/>
      <family val="2"/>
      <charset val="177"/>
    </font>
    <font>
      <b/>
      <u/>
      <sz val="12"/>
      <color rgb="FF000000"/>
      <name val="David"/>
      <family val="2"/>
      <charset val="177"/>
    </font>
    <font>
      <b/>
      <sz val="12"/>
      <color rgb="FF00B050"/>
      <name val="David"/>
      <family val="2"/>
      <charset val="177"/>
    </font>
    <font>
      <b/>
      <sz val="18"/>
      <color theme="1"/>
      <name val="David"/>
      <family val="2"/>
      <charset val="177"/>
    </font>
    <font>
      <b/>
      <u/>
      <sz val="12"/>
      <name val="David"/>
      <family val="2"/>
      <charset val="177"/>
    </font>
    <font>
      <b/>
      <sz val="28"/>
      <name val="David"/>
      <family val="2"/>
      <charset val="177"/>
    </font>
    <font>
      <u/>
      <sz val="12"/>
      <name val="David"/>
      <family val="2"/>
      <charset val="177"/>
    </font>
    <font>
      <sz val="10"/>
      <name val="David"/>
      <family val="2"/>
      <charset val="177"/>
    </font>
    <font>
      <b/>
      <sz val="12"/>
      <color rgb="FFFF0000"/>
      <name val="Calibri"/>
      <family val="2"/>
      <scheme val="minor"/>
    </font>
    <font>
      <sz val="11"/>
      <name val="David"/>
      <family val="2"/>
      <charset val="177"/>
    </font>
    <font>
      <b/>
      <sz val="12"/>
      <color rgb="FF000000"/>
      <name val="David"/>
      <family val="2"/>
      <charset val="177"/>
    </font>
    <font>
      <b/>
      <sz val="12"/>
      <color rgb="FF00B0F0"/>
      <name val="David"/>
      <family val="2"/>
      <charset val="177"/>
    </font>
    <font>
      <b/>
      <sz val="10"/>
      <color theme="1"/>
      <name val="David"/>
      <family val="2"/>
      <charset val="177"/>
    </font>
    <font>
      <sz val="9"/>
      <name val="David"/>
      <family val="2"/>
      <charset val="177"/>
    </font>
    <font>
      <b/>
      <sz val="12"/>
      <color theme="0"/>
      <name val="David"/>
      <family val="2"/>
      <charset val="177"/>
    </font>
    <font>
      <sz val="8"/>
      <name val="Calibri"/>
      <family val="2"/>
      <scheme val="minor"/>
    </font>
    <font>
      <sz val="12"/>
      <color theme="0" tint="-0.34998626667073579"/>
      <name val="David"/>
      <family val="2"/>
      <charset val="177"/>
    </font>
    <font>
      <sz val="9"/>
      <color theme="1"/>
      <name val="David"/>
      <family val="2"/>
      <charset val="177"/>
    </font>
    <font>
      <i/>
      <sz val="12"/>
      <color theme="1"/>
      <name val="David"/>
      <family val="2"/>
      <charset val="177"/>
    </font>
    <font>
      <sz val="12"/>
      <color rgb="FF00B050"/>
      <name val="David"/>
      <family val="2"/>
      <charset val="177"/>
    </font>
    <font>
      <b/>
      <sz val="18"/>
      <name val="David"/>
      <family val="2"/>
      <charset val="177"/>
    </font>
    <font>
      <sz val="10"/>
      <color theme="0"/>
      <name val="David"/>
      <family val="2"/>
      <charset val="177"/>
    </font>
    <font>
      <sz val="8"/>
      <name val="David"/>
      <family val="2"/>
      <charset val="177"/>
    </font>
    <font>
      <b/>
      <sz val="13"/>
      <color theme="1"/>
      <name val="David"/>
      <family val="2"/>
      <charset val="177"/>
    </font>
    <font>
      <sz val="13"/>
      <color theme="1"/>
      <name val="David"/>
      <family val="2"/>
      <charset val="177"/>
    </font>
    <font>
      <sz val="9"/>
      <color rgb="FF000000"/>
      <name val="David"/>
      <family val="2"/>
      <charset val="177"/>
    </font>
    <font>
      <sz val="8"/>
      <color theme="0"/>
      <name val="David"/>
      <family val="2"/>
      <charset val="177"/>
    </font>
    <font>
      <b/>
      <sz val="11"/>
      <color theme="1"/>
      <name val="David"/>
      <family val="2"/>
      <charset val="177"/>
    </font>
    <font>
      <b/>
      <sz val="22"/>
      <color theme="1"/>
      <name val="David"/>
      <family val="2"/>
      <charset val="177"/>
    </font>
    <font>
      <sz val="12"/>
      <color theme="5" tint="0.59999389629810485"/>
      <name val="David"/>
      <family val="2"/>
      <charset val="177"/>
    </font>
    <font>
      <sz val="16"/>
      <color theme="1"/>
      <name val="David"/>
      <family val="2"/>
      <charset val="177"/>
    </font>
    <font>
      <b/>
      <sz val="12"/>
      <name val="David"/>
    </font>
    <font>
      <b/>
      <sz val="16"/>
      <name val="David"/>
    </font>
    <font>
      <b/>
      <sz val="12"/>
      <color theme="1"/>
      <name val="David"/>
    </font>
    <font>
      <b/>
      <sz val="12"/>
      <color theme="0"/>
      <name val="David"/>
    </font>
    <font>
      <sz val="12"/>
      <color theme="1"/>
      <name val="David"/>
    </font>
    <font>
      <b/>
      <sz val="12"/>
      <color rgb="FFFF0000"/>
      <name val="David"/>
    </font>
    <font>
      <u/>
      <sz val="12"/>
      <color theme="1"/>
      <name val="David"/>
    </font>
    <font>
      <b/>
      <u/>
      <sz val="12"/>
      <color theme="1"/>
      <name val="David"/>
    </font>
  </fonts>
  <fills count="30">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7" tint="-0.249977111117893"/>
        <bgColor indexed="64"/>
      </patternFill>
    </fill>
    <fill>
      <patternFill patternType="solid">
        <fgColor theme="2"/>
        <bgColor indexed="64"/>
      </patternFill>
    </fill>
    <fill>
      <patternFill patternType="solid">
        <fgColor rgb="FFFFA1F0"/>
        <bgColor indexed="64"/>
      </patternFill>
    </fill>
    <fill>
      <patternFill patternType="solid">
        <fgColor theme="1"/>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8AD8"/>
        <bgColor indexed="64"/>
      </patternFill>
    </fill>
    <fill>
      <patternFill patternType="solid">
        <fgColor rgb="FF73FEFF"/>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rgb="FFFFFF00"/>
        <bgColor rgb="FF000000"/>
      </patternFill>
    </fill>
  </fills>
  <borders count="60">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auto="1"/>
      </top>
      <bottom style="dashed">
        <color auto="1"/>
      </bottom>
      <diagonal/>
    </border>
    <border>
      <left/>
      <right/>
      <top style="thin">
        <color auto="1"/>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diagonalUp="1" diagonalDown="1">
      <left/>
      <right/>
      <top/>
      <bottom/>
      <diagonal style="thin">
        <color auto="1"/>
      </diagonal>
    </border>
    <border>
      <left/>
      <right style="medium">
        <color indexed="64"/>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style="double">
        <color rgb="FFFF0000"/>
      </left>
      <right/>
      <top style="double">
        <color rgb="FFFF0000"/>
      </top>
      <bottom/>
      <diagonal/>
    </border>
    <border>
      <left/>
      <right/>
      <top style="double">
        <color rgb="FFFF0000"/>
      </top>
      <bottom/>
      <diagonal/>
    </border>
    <border>
      <left/>
      <right style="double">
        <color rgb="FFFF0000"/>
      </right>
      <top style="double">
        <color rgb="FFFF0000"/>
      </top>
      <bottom/>
      <diagonal/>
    </border>
    <border>
      <left style="double">
        <color rgb="FFFF0000"/>
      </left>
      <right/>
      <top/>
      <bottom/>
      <diagonal/>
    </border>
    <border>
      <left/>
      <right style="double">
        <color rgb="FFFF0000"/>
      </right>
      <top/>
      <bottom/>
      <diagonal/>
    </border>
    <border>
      <left style="double">
        <color rgb="FFFF0000"/>
      </left>
      <right/>
      <top/>
      <bottom style="double">
        <color rgb="FFFF0000"/>
      </bottom>
      <diagonal/>
    </border>
    <border>
      <left/>
      <right/>
      <top/>
      <bottom style="double">
        <color rgb="FFFF0000"/>
      </bottom>
      <diagonal/>
    </border>
    <border>
      <left style="medium">
        <color indexed="64"/>
      </left>
      <right style="medium">
        <color indexed="64"/>
      </right>
      <top style="medium">
        <color indexed="64"/>
      </top>
      <bottom style="double">
        <color rgb="FFFF0000"/>
      </bottom>
      <diagonal/>
    </border>
    <border>
      <left/>
      <right style="double">
        <color rgb="FFFF0000"/>
      </right>
      <top/>
      <bottom style="double">
        <color rgb="FFFF0000"/>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style="medium">
        <color indexed="64"/>
      </right>
      <top/>
      <bottom style="thin">
        <color indexed="64"/>
      </bottom>
      <diagonal/>
    </border>
    <border>
      <left/>
      <right style="medium">
        <color indexed="64"/>
      </right>
      <top style="thin">
        <color auto="1"/>
      </top>
      <bottom style="dashed">
        <color auto="1"/>
      </bottom>
      <diagonal/>
    </border>
    <border>
      <left/>
      <right style="double">
        <color indexed="64"/>
      </right>
      <top/>
      <bottom style="thin">
        <color indexed="64"/>
      </bottom>
      <diagonal/>
    </border>
    <border>
      <left/>
      <right style="double">
        <color indexed="64"/>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s>
  <cellStyleXfs count="4">
    <xf numFmtId="0" fontId="0" fillId="0" borderId="0"/>
    <xf numFmtId="0" fontId="11" fillId="0" borderId="0" applyNumberFormat="0" applyFill="0" applyBorder="0" applyAlignment="0" applyProtection="0"/>
    <xf numFmtId="43" fontId="17" fillId="0" borderId="0" applyFont="0" applyFill="0" applyBorder="0" applyAlignment="0" applyProtection="0"/>
    <xf numFmtId="9" fontId="17" fillId="0" borderId="0" applyFont="0" applyFill="0" applyBorder="0" applyAlignment="0" applyProtection="0"/>
  </cellStyleXfs>
  <cellXfs count="938">
    <xf numFmtId="0" fontId="0" fillId="0" borderId="0" xfId="0"/>
    <xf numFmtId="0" fontId="1" fillId="0" borderId="0" xfId="0" applyFont="1"/>
    <xf numFmtId="0" fontId="2" fillId="0" borderId="0" xfId="0" applyFont="1"/>
    <xf numFmtId="0" fontId="1" fillId="2" borderId="0" xfId="0" applyFont="1" applyFill="1"/>
    <xf numFmtId="0" fontId="2" fillId="3" borderId="0" xfId="0" applyFont="1" applyFill="1"/>
    <xf numFmtId="0" fontId="1" fillId="3" borderId="0" xfId="0" applyFont="1" applyFill="1"/>
    <xf numFmtId="0" fontId="1" fillId="0" borderId="0" xfId="0" applyFont="1" applyAlignment="1">
      <alignment horizontal="center"/>
    </xf>
    <xf numFmtId="0" fontId="2" fillId="2" borderId="0" xfId="0" applyFont="1" applyFill="1"/>
    <xf numFmtId="0" fontId="3" fillId="0" borderId="0" xfId="0" applyFont="1"/>
    <xf numFmtId="0" fontId="2" fillId="0" borderId="1" xfId="0" applyFont="1" applyBorder="1" applyAlignment="1">
      <alignment horizontal="center"/>
    </xf>
    <xf numFmtId="0" fontId="1" fillId="4" borderId="0" xfId="0" applyFont="1" applyFill="1"/>
    <xf numFmtId="0" fontId="5" fillId="2" borderId="0" xfId="0" applyFont="1" applyFill="1"/>
    <xf numFmtId="0" fontId="4" fillId="0" borderId="0" xfId="0" applyFont="1"/>
    <xf numFmtId="0" fontId="6" fillId="0" borderId="0" xfId="0" applyFont="1"/>
    <xf numFmtId="0" fontId="7" fillId="0" borderId="0" xfId="0" applyFont="1"/>
    <xf numFmtId="0" fontId="6" fillId="0" borderId="0" xfId="0" applyFont="1" applyAlignment="1">
      <alignment horizontal="center"/>
    </xf>
    <xf numFmtId="0" fontId="1" fillId="5" borderId="0" xfId="0" applyFont="1" applyFill="1"/>
    <xf numFmtId="0" fontId="1" fillId="0" borderId="2" xfId="0" applyFont="1" applyBorder="1" applyAlignment="1">
      <alignment horizontal="center"/>
    </xf>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2" xfId="0" applyFont="1" applyBorder="1"/>
    <xf numFmtId="37" fontId="1" fillId="0" borderId="0" xfId="0" applyNumberFormat="1" applyFont="1"/>
    <xf numFmtId="3" fontId="1" fillId="0" borderId="0" xfId="0" applyNumberFormat="1" applyFont="1"/>
    <xf numFmtId="0" fontId="1" fillId="0" borderId="1" xfId="0" applyFont="1" applyBorder="1"/>
    <xf numFmtId="3" fontId="1" fillId="0" borderId="2" xfId="0" applyNumberFormat="1" applyFont="1" applyBorder="1"/>
    <xf numFmtId="3" fontId="1" fillId="4" borderId="0" xfId="0" applyNumberFormat="1" applyFont="1" applyFill="1"/>
    <xf numFmtId="0" fontId="9" fillId="0" borderId="0" xfId="0" applyFont="1"/>
    <xf numFmtId="0" fontId="10" fillId="0" borderId="0" xfId="0" applyFont="1"/>
    <xf numFmtId="0" fontId="1" fillId="0" borderId="0" xfId="0" applyFont="1" applyAlignment="1">
      <alignment wrapText="1"/>
    </xf>
    <xf numFmtId="0" fontId="1" fillId="2" borderId="0" xfId="0" applyFont="1" applyFill="1" applyAlignment="1">
      <alignment wrapText="1"/>
    </xf>
    <xf numFmtId="0" fontId="3" fillId="0" borderId="1" xfId="0" applyFont="1" applyBorder="1"/>
    <xf numFmtId="0" fontId="1" fillId="6" borderId="0" xfId="0" applyFont="1" applyFill="1"/>
    <xf numFmtId="0" fontId="2" fillId="6" borderId="0" xfId="0" applyFont="1" applyFill="1"/>
    <xf numFmtId="0" fontId="12" fillId="0" borderId="0" xfId="1" applyFont="1"/>
    <xf numFmtId="0" fontId="1" fillId="0" borderId="1" xfId="0" applyFont="1" applyBorder="1" applyAlignment="1">
      <alignment horizontal="center"/>
    </xf>
    <xf numFmtId="0" fontId="1" fillId="2" borderId="1" xfId="0" applyFont="1" applyFill="1" applyBorder="1" applyAlignment="1">
      <alignment horizontal="center"/>
    </xf>
    <xf numFmtId="0" fontId="1" fillId="4" borderId="1" xfId="0" applyFont="1" applyFill="1" applyBorder="1" applyAlignment="1">
      <alignment horizontal="center"/>
    </xf>
    <xf numFmtId="0" fontId="1" fillId="0" borderId="7" xfId="0" applyFont="1" applyBorder="1"/>
    <xf numFmtId="0" fontId="1" fillId="0" borderId="7" xfId="0" applyFont="1" applyBorder="1" applyAlignment="1">
      <alignment horizontal="center"/>
    </xf>
    <xf numFmtId="3" fontId="1" fillId="0" borderId="0" xfId="0" applyNumberFormat="1" applyFont="1" applyAlignment="1">
      <alignment horizontal="center"/>
    </xf>
    <xf numFmtId="0" fontId="13" fillId="0" borderId="0" xfId="0" applyFont="1"/>
    <xf numFmtId="0" fontId="1" fillId="0" borderId="7" xfId="0" applyFont="1" applyBorder="1" applyAlignment="1">
      <alignment wrapText="1"/>
    </xf>
    <xf numFmtId="37" fontId="1" fillId="0" borderId="0" xfId="0" applyNumberFormat="1" applyFont="1" applyAlignment="1">
      <alignment horizontal="center"/>
    </xf>
    <xf numFmtId="3" fontId="1" fillId="0" borderId="0" xfId="0" applyNumberFormat="1" applyFont="1" applyAlignment="1">
      <alignment horizontal="right"/>
    </xf>
    <xf numFmtId="0" fontId="3" fillId="0" borderId="0" xfId="0" applyFont="1" applyAlignment="1">
      <alignment horizontal="center"/>
    </xf>
    <xf numFmtId="37" fontId="3" fillId="0" borderId="0" xfId="0" applyNumberFormat="1" applyFont="1" applyAlignment="1">
      <alignment horizontal="center"/>
    </xf>
    <xf numFmtId="3" fontId="3" fillId="0" borderId="0" xfId="0" applyNumberFormat="1" applyFont="1" applyAlignment="1">
      <alignment horizontal="center"/>
    </xf>
    <xf numFmtId="3" fontId="15" fillId="0" borderId="0" xfId="0" applyNumberFormat="1" applyFont="1"/>
    <xf numFmtId="0" fontId="1" fillId="0" borderId="7" xfId="0" applyFont="1" applyBorder="1" applyAlignment="1">
      <alignment horizontal="center" wrapText="1"/>
    </xf>
    <xf numFmtId="0" fontId="3" fillId="0" borderId="0" xfId="0" applyFont="1" applyAlignment="1">
      <alignment horizontal="center" wrapText="1"/>
    </xf>
    <xf numFmtId="0" fontId="1" fillId="0" borderId="8" xfId="0" applyFont="1" applyBorder="1"/>
    <xf numFmtId="0" fontId="1" fillId="7" borderId="0" xfId="0" applyFont="1" applyFill="1"/>
    <xf numFmtId="0" fontId="1" fillId="0" borderId="0" xfId="0" applyFont="1" applyAlignment="1">
      <alignment horizontal="left"/>
    </xf>
    <xf numFmtId="3" fontId="1" fillId="0" borderId="8" xfId="0" applyNumberFormat="1" applyFont="1" applyBorder="1" applyAlignment="1">
      <alignment horizontal="center"/>
    </xf>
    <xf numFmtId="3" fontId="1" fillId="8" borderId="9" xfId="0" applyNumberFormat="1" applyFont="1" applyFill="1" applyBorder="1" applyAlignment="1">
      <alignment horizontal="center"/>
    </xf>
    <xf numFmtId="3" fontId="16" fillId="0" borderId="2" xfId="0" applyNumberFormat="1" applyFont="1" applyBorder="1" applyAlignment="1">
      <alignment horizontal="center"/>
    </xf>
    <xf numFmtId="3" fontId="16" fillId="0" borderId="2" xfId="0" applyNumberFormat="1" applyFont="1" applyBorder="1"/>
    <xf numFmtId="0" fontId="1" fillId="0" borderId="10" xfId="0" applyFont="1" applyBorder="1" applyAlignment="1">
      <alignment horizontal="center"/>
    </xf>
    <xf numFmtId="0" fontId="1" fillId="0" borderId="11" xfId="0" applyFont="1" applyBorder="1" applyAlignment="1">
      <alignment horizontal="center"/>
    </xf>
    <xf numFmtId="3" fontId="1" fillId="0" borderId="12" xfId="0" applyNumberFormat="1" applyFont="1" applyBorder="1" applyAlignment="1">
      <alignment horizontal="center"/>
    </xf>
    <xf numFmtId="0" fontId="1" fillId="0" borderId="13" xfId="0" applyFont="1" applyBorder="1" applyAlignment="1">
      <alignment horizontal="center"/>
    </xf>
    <xf numFmtId="0" fontId="1" fillId="0" borderId="12" xfId="0" applyFont="1" applyBorder="1" applyAlignment="1">
      <alignment horizontal="center"/>
    </xf>
    <xf numFmtId="3" fontId="1" fillId="0" borderId="13" xfId="0" applyNumberFormat="1" applyFont="1" applyBorder="1" applyAlignment="1">
      <alignment horizontal="center"/>
    </xf>
    <xf numFmtId="3" fontId="1" fillId="0" borderId="14" xfId="0" applyNumberFormat="1" applyFont="1" applyBorder="1" applyAlignment="1">
      <alignment horizontal="center"/>
    </xf>
    <xf numFmtId="3" fontId="1" fillId="0" borderId="15" xfId="0" applyNumberFormat="1" applyFont="1" applyBorder="1" applyAlignment="1">
      <alignment horizontal="center"/>
    </xf>
    <xf numFmtId="0" fontId="1" fillId="0" borderId="16" xfId="0" applyFont="1" applyBorder="1"/>
    <xf numFmtId="0" fontId="1" fillId="0" borderId="17" xfId="0" applyFont="1" applyBorder="1"/>
    <xf numFmtId="0" fontId="1" fillId="0" borderId="18" xfId="0" applyFont="1" applyBorder="1"/>
    <xf numFmtId="0" fontId="6" fillId="0" borderId="1" xfId="0" applyFont="1" applyBorder="1"/>
    <xf numFmtId="0" fontId="1" fillId="3" borderId="1" xfId="0" applyFont="1" applyFill="1" applyBorder="1"/>
    <xf numFmtId="0" fontId="1" fillId="3" borderId="8" xfId="0" applyFont="1" applyFill="1" applyBorder="1"/>
    <xf numFmtId="0" fontId="1" fillId="2" borderId="1" xfId="0" applyFont="1" applyFill="1" applyBorder="1"/>
    <xf numFmtId="0" fontId="1" fillId="2" borderId="8" xfId="0" applyFont="1" applyFill="1" applyBorder="1"/>
    <xf numFmtId="0" fontId="6" fillId="2" borderId="0" xfId="0" applyFont="1" applyFill="1"/>
    <xf numFmtId="0" fontId="6" fillId="2" borderId="1" xfId="0" applyFont="1" applyFill="1" applyBorder="1"/>
    <xf numFmtId="0" fontId="6" fillId="9" borderId="0" xfId="0" applyFont="1" applyFill="1"/>
    <xf numFmtId="0" fontId="6" fillId="9" borderId="1" xfId="0" applyFont="1" applyFill="1" applyBorder="1"/>
    <xf numFmtId="0" fontId="1" fillId="9" borderId="0" xfId="0" applyFont="1" applyFill="1"/>
    <xf numFmtId="0" fontId="6" fillId="0" borderId="0" xfId="0" applyFont="1" applyAlignment="1">
      <alignment wrapText="1"/>
    </xf>
    <xf numFmtId="0" fontId="2" fillId="0" borderId="1" xfId="0" applyFont="1" applyBorder="1"/>
    <xf numFmtId="0" fontId="2" fillId="3" borderId="1" xfId="0" applyFont="1" applyFill="1" applyBorder="1"/>
    <xf numFmtId="0" fontId="2" fillId="2" borderId="1" xfId="0" applyFont="1" applyFill="1" applyBorder="1"/>
    <xf numFmtId="0" fontId="7" fillId="9" borderId="0" xfId="0" applyFont="1" applyFill="1"/>
    <xf numFmtId="0" fontId="2" fillId="5" borderId="0" xfId="0" applyFont="1" applyFill="1"/>
    <xf numFmtId="14" fontId="1" fillId="0" borderId="1" xfId="0" applyNumberFormat="1" applyFont="1" applyBorder="1" applyAlignment="1">
      <alignment horizontal="center"/>
    </xf>
    <xf numFmtId="0" fontId="1" fillId="0" borderId="0" xfId="0" applyFont="1" applyAlignment="1">
      <alignment horizontal="right"/>
    </xf>
    <xf numFmtId="3" fontId="1" fillId="2" borderId="2" xfId="0" applyNumberFormat="1" applyFont="1" applyFill="1" applyBorder="1" applyAlignment="1">
      <alignment horizontal="center"/>
    </xf>
    <xf numFmtId="3" fontId="1" fillId="0" borderId="8" xfId="0" applyNumberFormat="1" applyFont="1" applyBorder="1"/>
    <xf numFmtId="3" fontId="1" fillId="11" borderId="19" xfId="0" applyNumberFormat="1" applyFont="1" applyFill="1" applyBorder="1" applyAlignment="1">
      <alignment horizontal="center"/>
    </xf>
    <xf numFmtId="3" fontId="1" fillId="11" borderId="20" xfId="0" applyNumberFormat="1" applyFont="1" applyFill="1" applyBorder="1" applyAlignment="1">
      <alignment horizontal="center"/>
    </xf>
    <xf numFmtId="3" fontId="1" fillId="11" borderId="2" xfId="0" applyNumberFormat="1" applyFont="1" applyFill="1" applyBorder="1"/>
    <xf numFmtId="0" fontId="2" fillId="0" borderId="19" xfId="0" applyFont="1" applyBorder="1" applyAlignment="1">
      <alignment horizontal="right"/>
    </xf>
    <xf numFmtId="0" fontId="2" fillId="0" borderId="21" xfId="0" applyFont="1" applyBorder="1"/>
    <xf numFmtId="0" fontId="2" fillId="0" borderId="20" xfId="0" applyFont="1" applyBorder="1"/>
    <xf numFmtId="0" fontId="1" fillId="10" borderId="0" xfId="0" applyFont="1" applyFill="1"/>
    <xf numFmtId="0" fontId="2" fillId="10" borderId="0" xfId="0" applyFont="1" applyFill="1"/>
    <xf numFmtId="3" fontId="8" fillId="0" borderId="0" xfId="0" applyNumberFormat="1" applyFont="1"/>
    <xf numFmtId="164" fontId="1" fillId="0" borderId="0" xfId="2" applyNumberFormat="1" applyFont="1"/>
    <xf numFmtId="0" fontId="1" fillId="0" borderId="22" xfId="0" applyFont="1" applyBorder="1"/>
    <xf numFmtId="164" fontId="1" fillId="0" borderId="4" xfId="0" applyNumberFormat="1" applyFont="1" applyBorder="1"/>
    <xf numFmtId="0" fontId="13" fillId="0" borderId="23" xfId="0" applyFont="1" applyBorder="1"/>
    <xf numFmtId="0" fontId="1" fillId="0" borderId="23" xfId="0" applyFont="1" applyBorder="1"/>
    <xf numFmtId="164" fontId="8" fillId="0" borderId="23" xfId="2" applyNumberFormat="1" applyFont="1" applyBorder="1"/>
    <xf numFmtId="0" fontId="6" fillId="0" borderId="22" xfId="0" applyFont="1" applyBorder="1"/>
    <xf numFmtId="0" fontId="1" fillId="0" borderId="12" xfId="0" applyFont="1" applyBorder="1"/>
    <xf numFmtId="0" fontId="1" fillId="0" borderId="13" xfId="0" applyFont="1" applyBorder="1"/>
    <xf numFmtId="3" fontId="13" fillId="0" borderId="0" xfId="0" applyNumberFormat="1" applyFont="1"/>
    <xf numFmtId="164" fontId="1" fillId="0" borderId="0" xfId="2" applyNumberFormat="1" applyFont="1" applyBorder="1"/>
    <xf numFmtId="0" fontId="8" fillId="0" borderId="0" xfId="0" applyFont="1"/>
    <xf numFmtId="164" fontId="8" fillId="0" borderId="0" xfId="0" applyNumberFormat="1" applyFont="1"/>
    <xf numFmtId="3" fontId="2" fillId="0" borderId="21" xfId="0" applyNumberFormat="1" applyFont="1" applyBorder="1" applyAlignment="1">
      <alignment horizontal="center"/>
    </xf>
    <xf numFmtId="9" fontId="2" fillId="0" borderId="21" xfId="0" applyNumberFormat="1" applyFont="1" applyBorder="1" applyAlignment="1">
      <alignment horizontal="center"/>
    </xf>
    <xf numFmtId="3" fontId="1" fillId="2" borderId="19" xfId="0" applyNumberFormat="1" applyFont="1" applyFill="1" applyBorder="1" applyAlignment="1">
      <alignment horizontal="center"/>
    </xf>
    <xf numFmtId="3" fontId="1" fillId="2" borderId="20" xfId="0" applyNumberFormat="1" applyFont="1" applyFill="1" applyBorder="1" applyAlignment="1">
      <alignment horizontal="center"/>
    </xf>
    <xf numFmtId="3" fontId="6" fillId="13" borderId="19" xfId="0" applyNumberFormat="1" applyFont="1" applyFill="1" applyBorder="1" applyAlignment="1">
      <alignment horizontal="center"/>
    </xf>
    <xf numFmtId="3" fontId="6" fillId="13" borderId="20" xfId="0" applyNumberFormat="1" applyFont="1" applyFill="1" applyBorder="1" applyAlignment="1">
      <alignment horizontal="center"/>
    </xf>
    <xf numFmtId="9" fontId="1" fillId="0" borderId="0" xfId="0" applyNumberFormat="1" applyFont="1" applyAlignment="1">
      <alignment horizontal="center"/>
    </xf>
    <xf numFmtId="0" fontId="1" fillId="14" borderId="0" xfId="0" applyFont="1" applyFill="1"/>
    <xf numFmtId="14" fontId="1" fillId="0" borderId="0" xfId="0" applyNumberFormat="1" applyFont="1"/>
    <xf numFmtId="0" fontId="1" fillId="0" borderId="21" xfId="0" applyFont="1" applyBorder="1"/>
    <xf numFmtId="0" fontId="15" fillId="0" borderId="0" xfId="0" applyFont="1"/>
    <xf numFmtId="0" fontId="20" fillId="0" borderId="0" xfId="0" applyFont="1"/>
    <xf numFmtId="3" fontId="1" fillId="0" borderId="2" xfId="0" applyNumberFormat="1" applyFont="1" applyBorder="1" applyAlignment="1">
      <alignment horizontal="center"/>
    </xf>
    <xf numFmtId="37" fontId="1" fillId="2" borderId="19" xfId="0" applyNumberFormat="1" applyFont="1" applyFill="1" applyBorder="1" applyAlignment="1">
      <alignment horizontal="center"/>
    </xf>
    <xf numFmtId="37" fontId="1" fillId="2" borderId="21" xfId="0" applyNumberFormat="1" applyFont="1" applyFill="1" applyBorder="1" applyAlignment="1">
      <alignment horizontal="center"/>
    </xf>
    <xf numFmtId="37" fontId="1" fillId="2" borderId="20" xfId="0" applyNumberFormat="1" applyFont="1" applyFill="1" applyBorder="1" applyAlignment="1">
      <alignment horizontal="center"/>
    </xf>
    <xf numFmtId="3" fontId="3" fillId="0" borderId="2" xfId="0" applyNumberFormat="1" applyFont="1" applyBorder="1" applyAlignment="1">
      <alignment horizontal="center"/>
    </xf>
    <xf numFmtId="37" fontId="1" fillId="16" borderId="0" xfId="0" applyNumberFormat="1" applyFont="1" applyFill="1"/>
    <xf numFmtId="0" fontId="24" fillId="0" borderId="0" xfId="0" applyFont="1" applyAlignment="1">
      <alignment readingOrder="2"/>
    </xf>
    <xf numFmtId="37" fontId="1" fillId="0" borderId="2" xfId="0" applyNumberFormat="1" applyFont="1" applyBorder="1"/>
    <xf numFmtId="0" fontId="2" fillId="17" borderId="0" xfId="0" applyFont="1" applyFill="1"/>
    <xf numFmtId="0" fontId="2" fillId="7" borderId="0" xfId="0" applyFont="1" applyFill="1"/>
    <xf numFmtId="37" fontId="1" fillId="0" borderId="8" xfId="0" applyNumberFormat="1" applyFont="1" applyBorder="1" applyAlignment="1">
      <alignment horizontal="center"/>
    </xf>
    <xf numFmtId="0" fontId="1" fillId="2" borderId="0" xfId="0" applyFont="1" applyFill="1" applyAlignment="1">
      <alignment horizontal="right"/>
    </xf>
    <xf numFmtId="0" fontId="1" fillId="14" borderId="0" xfId="0" applyFont="1" applyFill="1" applyAlignment="1">
      <alignment horizontal="center"/>
    </xf>
    <xf numFmtId="14" fontId="1" fillId="14" borderId="1" xfId="0" applyNumberFormat="1" applyFont="1" applyFill="1" applyBorder="1" applyAlignment="1">
      <alignment horizontal="center"/>
    </xf>
    <xf numFmtId="37" fontId="1" fillId="14" borderId="0" xfId="0" applyNumberFormat="1" applyFont="1" applyFill="1" applyAlignment="1">
      <alignment horizontal="center"/>
    </xf>
    <xf numFmtId="37" fontId="1" fillId="14" borderId="8" xfId="0" applyNumberFormat="1" applyFont="1" applyFill="1" applyBorder="1" applyAlignment="1">
      <alignment horizontal="center"/>
    </xf>
    <xf numFmtId="37" fontId="1" fillId="0" borderId="2" xfId="0" applyNumberFormat="1" applyFont="1" applyBorder="1" applyAlignment="1">
      <alignment horizontal="center"/>
    </xf>
    <xf numFmtId="1" fontId="1" fillId="0" borderId="0" xfId="0" applyNumberFormat="1" applyFont="1" applyAlignment="1">
      <alignment horizontal="center"/>
    </xf>
    <xf numFmtId="0" fontId="1" fillId="16" borderId="0" xfId="0" applyFont="1" applyFill="1"/>
    <xf numFmtId="0" fontId="2" fillId="17" borderId="0" xfId="0" applyFont="1" applyFill="1" applyAlignment="1">
      <alignment horizontal="right"/>
    </xf>
    <xf numFmtId="0" fontId="14" fillId="0" borderId="0" xfId="0" applyFont="1"/>
    <xf numFmtId="0" fontId="8" fillId="0" borderId="0" xfId="0" applyFont="1" applyAlignment="1">
      <alignment horizontal="center"/>
    </xf>
    <xf numFmtId="0" fontId="1" fillId="0" borderId="19" xfId="0" applyFont="1" applyBorder="1"/>
    <xf numFmtId="0" fontId="1" fillId="0" borderId="20" xfId="0" applyFont="1" applyBorder="1"/>
    <xf numFmtId="3" fontId="1" fillId="2" borderId="2" xfId="0" applyNumberFormat="1" applyFont="1" applyFill="1" applyBorder="1"/>
    <xf numFmtId="0" fontId="1" fillId="0" borderId="4" xfId="0" applyFont="1" applyBorder="1" applyAlignment="1">
      <alignment horizontal="center"/>
    </xf>
    <xf numFmtId="0" fontId="2" fillId="0" borderId="0" xfId="0" applyFont="1" applyAlignment="1">
      <alignment horizontal="center"/>
    </xf>
    <xf numFmtId="0" fontId="2" fillId="0" borderId="12" xfId="0" applyFont="1" applyBorder="1"/>
    <xf numFmtId="0" fontId="2" fillId="0" borderId="13" xfId="0" applyFont="1" applyBorder="1"/>
    <xf numFmtId="0" fontId="2" fillId="0" borderId="5" xfId="0" applyFont="1" applyBorder="1"/>
    <xf numFmtId="0" fontId="2" fillId="0" borderId="23" xfId="0" applyFont="1" applyBorder="1"/>
    <xf numFmtId="0" fontId="2" fillId="0" borderId="6" xfId="0" applyFont="1" applyBorder="1"/>
    <xf numFmtId="0" fontId="2" fillId="2" borderId="0" xfId="0" applyFont="1" applyFill="1" applyAlignment="1">
      <alignment horizontal="center"/>
    </xf>
    <xf numFmtId="0" fontId="1" fillId="2" borderId="0" xfId="0" applyFont="1" applyFill="1" applyAlignment="1">
      <alignment horizontal="center"/>
    </xf>
    <xf numFmtId="0" fontId="1" fillId="0" borderId="23" xfId="0" applyFont="1" applyBorder="1" applyAlignment="1">
      <alignment horizontal="center"/>
    </xf>
    <xf numFmtId="0" fontId="2" fillId="2" borderId="3" xfId="0" applyFont="1" applyFill="1" applyBorder="1"/>
    <xf numFmtId="0" fontId="2" fillId="2" borderId="22" xfId="0" applyFont="1" applyFill="1" applyBorder="1"/>
    <xf numFmtId="0" fontId="2" fillId="2" borderId="4" xfId="0" applyFont="1" applyFill="1" applyBorder="1"/>
    <xf numFmtId="0" fontId="1" fillId="0" borderId="0" xfId="0" applyFont="1" applyAlignment="1">
      <alignment horizontal="center" wrapText="1"/>
    </xf>
    <xf numFmtId="0" fontId="2" fillId="2" borderId="22" xfId="0" applyFont="1" applyFill="1" applyBorder="1" applyAlignment="1">
      <alignment horizontal="center"/>
    </xf>
    <xf numFmtId="0" fontId="2" fillId="0" borderId="23" xfId="0" applyFont="1" applyBorder="1" applyAlignment="1">
      <alignment horizontal="center"/>
    </xf>
    <xf numFmtId="0" fontId="1" fillId="5" borderId="0" xfId="0" applyFont="1" applyFill="1" applyAlignment="1">
      <alignment horizontal="center"/>
    </xf>
    <xf numFmtId="0" fontId="26" fillId="0" borderId="0" xfId="0" applyFont="1"/>
    <xf numFmtId="0" fontId="26" fillId="2" borderId="2" xfId="0" applyFont="1" applyFill="1" applyBorder="1" applyAlignment="1">
      <alignment horizontal="center"/>
    </xf>
    <xf numFmtId="0" fontId="8" fillId="0" borderId="0" xfId="0" applyFont="1" applyAlignment="1">
      <alignment horizontal="right"/>
    </xf>
    <xf numFmtId="0" fontId="8" fillId="2" borderId="0" xfId="0" applyFont="1" applyFill="1" applyAlignment="1">
      <alignment horizontal="center"/>
    </xf>
    <xf numFmtId="0" fontId="8" fillId="2" borderId="2" xfId="0" applyFont="1" applyFill="1" applyBorder="1" applyAlignment="1">
      <alignment horizontal="center"/>
    </xf>
    <xf numFmtId="0" fontId="1" fillId="0" borderId="21" xfId="0" applyFont="1" applyBorder="1" applyAlignment="1">
      <alignment horizontal="center"/>
    </xf>
    <xf numFmtId="0" fontId="1" fillId="16" borderId="19" xfId="0" applyFont="1" applyFill="1" applyBorder="1" applyAlignment="1">
      <alignment horizontal="center"/>
    </xf>
    <xf numFmtId="0" fontId="1" fillId="5" borderId="3" xfId="0" applyFont="1" applyFill="1" applyBorder="1" applyAlignment="1">
      <alignment horizontal="center"/>
    </xf>
    <xf numFmtId="0" fontId="1" fillId="11" borderId="5" xfId="0" applyFont="1" applyFill="1" applyBorder="1" applyAlignment="1">
      <alignment horizontal="right"/>
    </xf>
    <xf numFmtId="0" fontId="1" fillId="11" borderId="6" xfId="0" applyFont="1" applyFill="1" applyBorder="1" applyAlignment="1">
      <alignment horizontal="center"/>
    </xf>
    <xf numFmtId="0" fontId="1" fillId="11" borderId="0" xfId="0" applyFont="1" applyFill="1" applyAlignment="1">
      <alignment horizontal="center"/>
    </xf>
    <xf numFmtId="0" fontId="1" fillId="11" borderId="0" xfId="0" applyFont="1" applyFill="1" applyAlignment="1">
      <alignment horizontal="left"/>
    </xf>
    <xf numFmtId="0" fontId="2" fillId="18" borderId="0" xfId="0" applyFont="1" applyFill="1" applyAlignment="1">
      <alignment horizontal="center"/>
    </xf>
    <xf numFmtId="0" fontId="1" fillId="0" borderId="22" xfId="0" applyFont="1" applyBorder="1" applyAlignment="1">
      <alignment horizontal="center"/>
    </xf>
    <xf numFmtId="0" fontId="2" fillId="0" borderId="3" xfId="0" applyFont="1" applyBorder="1"/>
    <xf numFmtId="0" fontId="2" fillId="6" borderId="19" xfId="0" applyFont="1" applyFill="1" applyBorder="1"/>
    <xf numFmtId="0" fontId="2" fillId="6" borderId="21" xfId="0" applyFont="1" applyFill="1" applyBorder="1"/>
    <xf numFmtId="0" fontId="2" fillId="6" borderId="21" xfId="0" applyFont="1" applyFill="1" applyBorder="1" applyAlignment="1">
      <alignment horizontal="center"/>
    </xf>
    <xf numFmtId="0" fontId="2" fillId="6" borderId="20" xfId="0" applyFont="1" applyFill="1" applyBorder="1"/>
    <xf numFmtId="0" fontId="1" fillId="0" borderId="1" xfId="0" applyFont="1" applyBorder="1" applyAlignment="1">
      <alignment horizontal="center" wrapText="1"/>
    </xf>
    <xf numFmtId="0" fontId="2" fillId="2" borderId="0" xfId="0" applyFont="1" applyFill="1" applyAlignment="1">
      <alignment horizontal="right"/>
    </xf>
    <xf numFmtId="0" fontId="8" fillId="2" borderId="0" xfId="0" applyFont="1" applyFill="1"/>
    <xf numFmtId="0" fontId="8" fillId="2" borderId="0" xfId="0" applyFont="1" applyFill="1" applyAlignment="1">
      <alignment wrapText="1"/>
    </xf>
    <xf numFmtId="0" fontId="2" fillId="0" borderId="0" xfId="0" applyFont="1" applyAlignment="1">
      <alignment horizontal="right"/>
    </xf>
    <xf numFmtId="3" fontId="1" fillId="5" borderId="0" xfId="0" applyNumberFormat="1" applyFont="1" applyFill="1" applyAlignment="1">
      <alignment horizontal="center"/>
    </xf>
    <xf numFmtId="37" fontId="1" fillId="0" borderId="0" xfId="0" applyNumberFormat="1" applyFont="1" applyAlignment="1">
      <alignment horizontal="right"/>
    </xf>
    <xf numFmtId="0" fontId="1" fillId="0" borderId="1" xfId="0" applyFont="1" applyBorder="1" applyAlignment="1">
      <alignment horizontal="right"/>
    </xf>
    <xf numFmtId="0" fontId="1" fillId="0" borderId="0" xfId="0" applyFont="1" applyAlignment="1">
      <alignment horizontal="right" wrapText="1"/>
    </xf>
    <xf numFmtId="0" fontId="1" fillId="16" borderId="19" xfId="0" applyFont="1" applyFill="1" applyBorder="1" applyAlignment="1">
      <alignment horizontal="right"/>
    </xf>
    <xf numFmtId="0" fontId="1" fillId="0" borderId="21" xfId="0" applyFont="1" applyBorder="1" applyAlignment="1">
      <alignment horizontal="right"/>
    </xf>
    <xf numFmtId="0" fontId="1" fillId="0" borderId="3" xfId="0" applyFont="1" applyBorder="1" applyAlignment="1">
      <alignment horizontal="right"/>
    </xf>
    <xf numFmtId="0" fontId="1" fillId="0" borderId="22" xfId="0" applyFont="1" applyBorder="1" applyAlignment="1">
      <alignment horizontal="right"/>
    </xf>
    <xf numFmtId="0" fontId="1" fillId="0" borderId="4" xfId="0" applyFont="1" applyBorder="1" applyAlignment="1">
      <alignment horizontal="right"/>
    </xf>
    <xf numFmtId="0" fontId="1" fillId="0" borderId="12" xfId="0" applyFont="1" applyBorder="1" applyAlignment="1">
      <alignment horizontal="right"/>
    </xf>
    <xf numFmtId="0" fontId="1" fillId="0" borderId="13" xfId="0" applyFont="1" applyBorder="1" applyAlignment="1">
      <alignment horizontal="right"/>
    </xf>
    <xf numFmtId="0" fontId="1" fillId="0" borderId="5" xfId="0" applyFont="1" applyBorder="1" applyAlignment="1">
      <alignment horizontal="right"/>
    </xf>
    <xf numFmtId="0" fontId="1" fillId="0" borderId="23" xfId="0" applyFont="1" applyBorder="1" applyAlignment="1">
      <alignment horizontal="right"/>
    </xf>
    <xf numFmtId="0" fontId="1" fillId="0" borderId="6" xfId="0" applyFont="1" applyBorder="1" applyAlignment="1">
      <alignment horizontal="right"/>
    </xf>
    <xf numFmtId="0" fontId="2" fillId="5" borderId="0" xfId="0" applyFont="1" applyFill="1" applyAlignment="1">
      <alignment horizontal="right"/>
    </xf>
    <xf numFmtId="0" fontId="1" fillId="5" borderId="0" xfId="0" applyFont="1" applyFill="1" applyAlignment="1">
      <alignment horizontal="right"/>
    </xf>
    <xf numFmtId="165" fontId="1" fillId="0" borderId="0" xfId="0" applyNumberFormat="1" applyFont="1" applyAlignment="1">
      <alignment horizontal="right"/>
    </xf>
    <xf numFmtId="165" fontId="1" fillId="2" borderId="0" xfId="0" applyNumberFormat="1" applyFont="1" applyFill="1" applyAlignment="1">
      <alignment horizontal="right"/>
    </xf>
    <xf numFmtId="0" fontId="1" fillId="0" borderId="2" xfId="0" applyFont="1" applyBorder="1" applyAlignment="1">
      <alignment horizontal="right"/>
    </xf>
    <xf numFmtId="3" fontId="1" fillId="2" borderId="2" xfId="0" applyNumberFormat="1" applyFont="1" applyFill="1" applyBorder="1" applyAlignment="1">
      <alignment horizontal="right"/>
    </xf>
    <xf numFmtId="165" fontId="1" fillId="0" borderId="21" xfId="0" applyNumberFormat="1" applyFont="1" applyBorder="1" applyAlignment="1">
      <alignment horizontal="right"/>
    </xf>
    <xf numFmtId="0" fontId="1" fillId="19" borderId="0" xfId="0" applyFont="1" applyFill="1" applyAlignment="1">
      <alignment horizontal="right"/>
    </xf>
    <xf numFmtId="165" fontId="1" fillId="11" borderId="0" xfId="0" applyNumberFormat="1" applyFont="1" applyFill="1" applyAlignment="1">
      <alignment horizontal="right"/>
    </xf>
    <xf numFmtId="0" fontId="2" fillId="19" borderId="0" xfId="0" applyFont="1" applyFill="1" applyAlignment="1">
      <alignment horizontal="right"/>
    </xf>
    <xf numFmtId="0" fontId="3" fillId="0" borderId="3" xfId="0" applyFont="1" applyBorder="1" applyAlignment="1">
      <alignment horizontal="right"/>
    </xf>
    <xf numFmtId="0" fontId="3" fillId="0" borderId="22" xfId="0" applyFont="1" applyBorder="1" applyAlignment="1">
      <alignment horizontal="right"/>
    </xf>
    <xf numFmtId="0" fontId="3" fillId="0" borderId="22" xfId="0" applyFont="1" applyBorder="1" applyAlignment="1">
      <alignment horizontal="center"/>
    </xf>
    <xf numFmtId="0" fontId="3" fillId="0" borderId="4" xfId="0" applyFont="1" applyBorder="1" applyAlignment="1">
      <alignment horizontal="right"/>
    </xf>
    <xf numFmtId="0" fontId="3" fillId="0" borderId="5" xfId="0" applyFont="1" applyBorder="1" applyAlignment="1">
      <alignment horizontal="right"/>
    </xf>
    <xf numFmtId="0" fontId="3" fillId="0" borderId="23" xfId="0" applyFont="1" applyBorder="1" applyAlignment="1">
      <alignment horizontal="right"/>
    </xf>
    <xf numFmtId="0" fontId="3" fillId="0" borderId="23" xfId="0" applyFont="1" applyBorder="1" applyAlignment="1">
      <alignment horizontal="center"/>
    </xf>
    <xf numFmtId="0" fontId="3" fillId="0" borderId="6" xfId="0" applyFont="1" applyBorder="1" applyAlignment="1">
      <alignment horizontal="right"/>
    </xf>
    <xf numFmtId="0" fontId="8" fillId="2" borderId="0" xfId="0" applyFont="1" applyFill="1" applyAlignment="1">
      <alignment horizontal="right"/>
    </xf>
    <xf numFmtId="0" fontId="2" fillId="0" borderId="12" xfId="0" applyFont="1" applyBorder="1" applyAlignment="1">
      <alignment horizontal="right"/>
    </xf>
    <xf numFmtId="0" fontId="2" fillId="0" borderId="5" xfId="0" applyFont="1" applyBorder="1" applyAlignment="1">
      <alignment horizontal="right"/>
    </xf>
    <xf numFmtId="0" fontId="3" fillId="0" borderId="0" xfId="0" applyFont="1" applyAlignment="1">
      <alignment horizontal="right"/>
    </xf>
    <xf numFmtId="0" fontId="8" fillId="0" borderId="0" xfId="0" applyFont="1" applyAlignment="1">
      <alignment horizontal="right" wrapText="1"/>
    </xf>
    <xf numFmtId="165" fontId="8" fillId="2" borderId="0" xfId="0" applyNumberFormat="1" applyFont="1" applyFill="1" applyAlignment="1">
      <alignment horizontal="right"/>
    </xf>
    <xf numFmtId="165" fontId="3" fillId="0" borderId="22" xfId="0" applyNumberFormat="1" applyFont="1" applyBorder="1" applyAlignment="1">
      <alignment horizontal="right"/>
    </xf>
    <xf numFmtId="165" fontId="3" fillId="0" borderId="23" xfId="0" applyNumberFormat="1" applyFont="1" applyBorder="1" applyAlignment="1">
      <alignment horizontal="right"/>
    </xf>
    <xf numFmtId="165" fontId="8" fillId="0" borderId="0" xfId="0" applyNumberFormat="1" applyFont="1" applyAlignment="1">
      <alignment horizontal="right"/>
    </xf>
    <xf numFmtId="165" fontId="1" fillId="0" borderId="0" xfId="0" applyNumberFormat="1" applyFont="1" applyAlignment="1">
      <alignment horizontal="center"/>
    </xf>
    <xf numFmtId="0" fontId="3" fillId="0" borderId="12" xfId="0" applyFont="1" applyBorder="1" applyAlignment="1">
      <alignment horizontal="right"/>
    </xf>
    <xf numFmtId="0" fontId="3" fillId="0" borderId="13" xfId="0" applyFont="1" applyBorder="1" applyAlignment="1">
      <alignment horizontal="right"/>
    </xf>
    <xf numFmtId="165" fontId="3" fillId="0" borderId="0" xfId="0" applyNumberFormat="1" applyFont="1" applyAlignment="1">
      <alignment horizontal="center"/>
    </xf>
    <xf numFmtId="1" fontId="1" fillId="0" borderId="21" xfId="0" applyNumberFormat="1" applyFont="1" applyBorder="1" applyAlignment="1">
      <alignment horizontal="right"/>
    </xf>
    <xf numFmtId="0" fontId="14" fillId="0" borderId="0" xfId="0" applyFont="1" applyAlignment="1">
      <alignment horizontal="right"/>
    </xf>
    <xf numFmtId="166" fontId="1" fillId="0" borderId="0" xfId="0" applyNumberFormat="1" applyFont="1" applyAlignment="1">
      <alignment horizontal="center"/>
    </xf>
    <xf numFmtId="166" fontId="1" fillId="0" borderId="8" xfId="0" applyNumberFormat="1" applyFont="1" applyBorder="1" applyAlignment="1">
      <alignment horizontal="center"/>
    </xf>
    <xf numFmtId="165" fontId="1" fillId="0" borderId="2" xfId="0" applyNumberFormat="1" applyFont="1" applyBorder="1" applyAlignment="1">
      <alignment horizontal="right"/>
    </xf>
    <xf numFmtId="0" fontId="29" fillId="2" borderId="0" xfId="0" applyFont="1" applyFill="1"/>
    <xf numFmtId="0" fontId="7" fillId="3" borderId="0" xfId="0" applyFont="1" applyFill="1"/>
    <xf numFmtId="0" fontId="6" fillId="3" borderId="0" xfId="0" applyFont="1" applyFill="1"/>
    <xf numFmtId="0" fontId="7" fillId="4" borderId="0" xfId="0" applyFont="1" applyFill="1"/>
    <xf numFmtId="0" fontId="6" fillId="4" borderId="0" xfId="0" applyFont="1" applyFill="1"/>
    <xf numFmtId="0" fontId="7" fillId="2" borderId="0" xfId="0" applyFont="1" applyFill="1"/>
    <xf numFmtId="0" fontId="7" fillId="0" borderId="1" xfId="0" applyFont="1" applyBorder="1" applyAlignment="1">
      <alignment horizontal="center"/>
    </xf>
    <xf numFmtId="3" fontId="6" fillId="0" borderId="0" xfId="0" applyNumberFormat="1" applyFont="1" applyAlignment="1">
      <alignment horizontal="center"/>
    </xf>
    <xf numFmtId="3" fontId="6" fillId="0" borderId="0" xfId="0" applyNumberFormat="1" applyFont="1"/>
    <xf numFmtId="14" fontId="1" fillId="2" borderId="0" xfId="0" applyNumberFormat="1" applyFont="1" applyFill="1"/>
    <xf numFmtId="14" fontId="2" fillId="2" borderId="0" xfId="0" applyNumberFormat="1" applyFont="1" applyFill="1"/>
    <xf numFmtId="14" fontId="1" fillId="0" borderId="22" xfId="0" applyNumberFormat="1" applyFont="1" applyBorder="1"/>
    <xf numFmtId="37" fontId="6" fillId="0" borderId="0" xfId="0" applyNumberFormat="1" applyFont="1"/>
    <xf numFmtId="37" fontId="1" fillId="0" borderId="8" xfId="0" applyNumberFormat="1" applyFont="1" applyBorder="1"/>
    <xf numFmtId="37" fontId="24" fillId="0" borderId="0" xfId="0" applyNumberFormat="1" applyFont="1" applyAlignment="1">
      <alignment readingOrder="1"/>
    </xf>
    <xf numFmtId="37" fontId="6" fillId="0" borderId="0" xfId="0" applyNumberFormat="1" applyFont="1" applyAlignment="1">
      <alignment horizontal="right"/>
    </xf>
    <xf numFmtId="37" fontId="6" fillId="0" borderId="0" xfId="0" applyNumberFormat="1" applyFont="1" applyAlignment="1">
      <alignment horizontal="center"/>
    </xf>
    <xf numFmtId="37" fontId="6" fillId="2" borderId="8" xfId="0" applyNumberFormat="1" applyFont="1" applyFill="1" applyBorder="1"/>
    <xf numFmtId="0" fontId="6" fillId="2" borderId="8" xfId="0" applyFont="1" applyFill="1" applyBorder="1" applyAlignment="1">
      <alignment horizontal="center"/>
    </xf>
    <xf numFmtId="0" fontId="6" fillId="0" borderId="0" xfId="0" applyFont="1" applyAlignment="1">
      <alignment horizontal="right"/>
    </xf>
    <xf numFmtId="3" fontId="6" fillId="0" borderId="0" xfId="0" applyNumberFormat="1" applyFont="1" applyAlignment="1">
      <alignment horizontal="left"/>
    </xf>
    <xf numFmtId="37" fontId="6" fillId="0" borderId="8" xfId="0" applyNumberFormat="1" applyFont="1" applyBorder="1"/>
    <xf numFmtId="0" fontId="6" fillId="0" borderId="12" xfId="0" applyFont="1" applyBorder="1"/>
    <xf numFmtId="37" fontId="6" fillId="0" borderId="13" xfId="0" applyNumberFormat="1" applyFont="1" applyBorder="1"/>
    <xf numFmtId="0" fontId="6" fillId="0" borderId="13" xfId="0" applyFont="1" applyBorder="1"/>
    <xf numFmtId="0" fontId="6" fillId="0" borderId="5" xfId="0" applyFont="1" applyBorder="1"/>
    <xf numFmtId="0" fontId="6" fillId="0" borderId="23" xfId="0" applyFont="1" applyBorder="1"/>
    <xf numFmtId="37" fontId="7" fillId="0" borderId="6" xfId="0" applyNumberFormat="1" applyFont="1" applyBorder="1"/>
    <xf numFmtId="3" fontId="6" fillId="0" borderId="13" xfId="0" applyNumberFormat="1" applyFont="1" applyBorder="1"/>
    <xf numFmtId="3" fontId="7" fillId="0" borderId="6" xfId="0" applyNumberFormat="1" applyFont="1" applyBorder="1"/>
    <xf numFmtId="37" fontId="7" fillId="0" borderId="0" xfId="0" applyNumberFormat="1" applyFont="1"/>
    <xf numFmtId="0" fontId="6" fillId="0" borderId="6" xfId="0" applyFont="1" applyBorder="1"/>
    <xf numFmtId="0" fontId="7" fillId="0" borderId="3" xfId="0" applyFont="1" applyBorder="1"/>
    <xf numFmtId="37" fontId="3" fillId="0" borderId="0" xfId="0" applyNumberFormat="1" applyFont="1"/>
    <xf numFmtId="0" fontId="32" fillId="0" borderId="0" xfId="0" applyFont="1"/>
    <xf numFmtId="0" fontId="31" fillId="0" borderId="0" xfId="0" applyFont="1"/>
    <xf numFmtId="0" fontId="6" fillId="2" borderId="0" xfId="0" applyFont="1" applyFill="1" applyAlignment="1">
      <alignment wrapText="1"/>
    </xf>
    <xf numFmtId="14" fontId="1" fillId="0" borderId="23" xfId="0" applyNumberFormat="1" applyFont="1" applyBorder="1"/>
    <xf numFmtId="0" fontId="21" fillId="5" borderId="0" xfId="0" applyFont="1" applyFill="1"/>
    <xf numFmtId="0" fontId="6" fillId="3" borderId="8" xfId="0" applyFont="1" applyFill="1" applyBorder="1"/>
    <xf numFmtId="0" fontId="6" fillId="2" borderId="8" xfId="0" applyFont="1" applyFill="1" applyBorder="1"/>
    <xf numFmtId="0" fontId="11" fillId="9" borderId="0" xfId="1" applyFill="1"/>
    <xf numFmtId="0" fontId="7" fillId="3" borderId="21" xfId="0" applyFont="1" applyFill="1" applyBorder="1"/>
    <xf numFmtId="0" fontId="2" fillId="0" borderId="19" xfId="0" applyFont="1" applyBorder="1"/>
    <xf numFmtId="0" fontId="7" fillId="2" borderId="21" xfId="0" applyFont="1" applyFill="1" applyBorder="1" applyAlignment="1">
      <alignment wrapText="1"/>
    </xf>
    <xf numFmtId="0" fontId="7" fillId="9" borderId="20" xfId="0" applyFont="1" applyFill="1" applyBorder="1"/>
    <xf numFmtId="0" fontId="7" fillId="2" borderId="1" xfId="0" applyFont="1" applyFill="1" applyBorder="1"/>
    <xf numFmtId="0" fontId="6" fillId="20" borderId="1" xfId="0" applyFont="1" applyFill="1" applyBorder="1"/>
    <xf numFmtId="0" fontId="6" fillId="20" borderId="0" xfId="0" applyFont="1" applyFill="1"/>
    <xf numFmtId="0" fontId="7" fillId="0" borderId="21" xfId="0" applyFont="1" applyBorder="1" applyAlignment="1">
      <alignment wrapText="1"/>
    </xf>
    <xf numFmtId="0" fontId="7" fillId="0" borderId="21" xfId="0" applyFont="1" applyBorder="1"/>
    <xf numFmtId="14" fontId="1" fillId="0" borderId="21" xfId="0" applyNumberFormat="1" applyFont="1" applyBorder="1"/>
    <xf numFmtId="0" fontId="33" fillId="2" borderId="0" xfId="0" applyFont="1" applyFill="1"/>
    <xf numFmtId="0" fontId="9" fillId="3" borderId="0" xfId="0" applyFont="1" applyFill="1"/>
    <xf numFmtId="0" fontId="33" fillId="0" borderId="0" xfId="0" applyFont="1"/>
    <xf numFmtId="0" fontId="33" fillId="9" borderId="0" xfId="0" applyFont="1" applyFill="1"/>
    <xf numFmtId="0" fontId="33" fillId="2" borderId="1" xfId="0" applyFont="1" applyFill="1" applyBorder="1"/>
    <xf numFmtId="0" fontId="9" fillId="3" borderId="1" xfId="0" applyFont="1" applyFill="1" applyBorder="1"/>
    <xf numFmtId="0" fontId="33" fillId="0" borderId="1" xfId="0" applyFont="1" applyBorder="1"/>
    <xf numFmtId="0" fontId="33" fillId="9" borderId="1" xfId="0" applyFont="1" applyFill="1" applyBorder="1"/>
    <xf numFmtId="0" fontId="33" fillId="2" borderId="0" xfId="0" applyFont="1" applyFill="1" applyAlignment="1">
      <alignment wrapText="1"/>
    </xf>
    <xf numFmtId="0" fontId="33" fillId="3" borderId="0" xfId="0" applyFont="1" applyFill="1"/>
    <xf numFmtId="3" fontId="1" fillId="2" borderId="0" xfId="0" applyNumberFormat="1" applyFont="1" applyFill="1"/>
    <xf numFmtId="3" fontId="1" fillId="13" borderId="3" xfId="0" applyNumberFormat="1" applyFont="1" applyFill="1" applyBorder="1" applyAlignment="1">
      <alignment horizontal="center"/>
    </xf>
    <xf numFmtId="3" fontId="1" fillId="13" borderId="4" xfId="0" applyNumberFormat="1" applyFont="1" applyFill="1" applyBorder="1" applyAlignment="1">
      <alignment horizontal="center"/>
    </xf>
    <xf numFmtId="0" fontId="2" fillId="0" borderId="21" xfId="0" applyFont="1" applyBorder="1" applyAlignment="1">
      <alignment horizontal="center"/>
    </xf>
    <xf numFmtId="0" fontId="2" fillId="0" borderId="20" xfId="0" applyFont="1" applyBorder="1" applyAlignment="1">
      <alignment horizontal="center"/>
    </xf>
    <xf numFmtId="9" fontId="1" fillId="0" borderId="21" xfId="0" applyNumberFormat="1" applyFont="1" applyBorder="1" applyAlignment="1">
      <alignment horizontal="center"/>
    </xf>
    <xf numFmtId="9" fontId="1" fillId="0" borderId="12" xfId="0" applyNumberFormat="1" applyFont="1" applyBorder="1" applyAlignment="1">
      <alignment horizontal="center"/>
    </xf>
    <xf numFmtId="9" fontId="1" fillId="0" borderId="13" xfId="0" applyNumberFormat="1" applyFont="1" applyBorder="1" applyAlignment="1">
      <alignment horizontal="center"/>
    </xf>
    <xf numFmtId="0" fontId="6" fillId="0" borderId="21" xfId="0" applyFont="1" applyBorder="1"/>
    <xf numFmtId="3" fontId="4" fillId="0" borderId="0" xfId="0" applyNumberFormat="1" applyFont="1"/>
    <xf numFmtId="14" fontId="1" fillId="0" borderId="0" xfId="0" applyNumberFormat="1" applyFont="1" applyAlignment="1">
      <alignment horizontal="right"/>
    </xf>
    <xf numFmtId="3" fontId="1" fillId="10" borderId="2" xfId="0" applyNumberFormat="1" applyFont="1" applyFill="1" applyBorder="1" applyAlignment="1">
      <alignment horizontal="center"/>
    </xf>
    <xf numFmtId="3" fontId="1" fillId="7" borderId="0" xfId="0" applyNumberFormat="1" applyFont="1" applyFill="1" applyAlignment="1">
      <alignment horizontal="center"/>
    </xf>
    <xf numFmtId="3" fontId="1" fillId="7" borderId="8" xfId="0" applyNumberFormat="1" applyFont="1" applyFill="1" applyBorder="1"/>
    <xf numFmtId="0" fontId="4" fillId="0" borderId="0" xfId="0" applyFont="1" applyAlignment="1">
      <alignment horizontal="center"/>
    </xf>
    <xf numFmtId="0" fontId="6" fillId="0" borderId="0" xfId="0" applyFont="1" applyAlignment="1">
      <alignment horizontal="center" wrapText="1"/>
    </xf>
    <xf numFmtId="0" fontId="24" fillId="0" borderId="23" xfId="0" applyFont="1" applyBorder="1" applyAlignment="1">
      <alignment horizontal="right" vertical="center" readingOrder="2"/>
    </xf>
    <xf numFmtId="0" fontId="24" fillId="0" borderId="0" xfId="0" applyFont="1" applyAlignment="1">
      <alignment horizontal="right" vertical="center" readingOrder="2"/>
    </xf>
    <xf numFmtId="0" fontId="24" fillId="0" borderId="0" xfId="0" applyFont="1" applyAlignment="1">
      <alignment horizontal="right" vertical="center"/>
    </xf>
    <xf numFmtId="0" fontId="24" fillId="0" borderId="0" xfId="0" applyFont="1" applyAlignment="1">
      <alignment horizontal="right" vertical="center" wrapText="1" readingOrder="2"/>
    </xf>
    <xf numFmtId="0" fontId="24" fillId="0" borderId="25" xfId="0" applyFont="1" applyBorder="1" applyAlignment="1">
      <alignment horizontal="right" vertical="center" readingOrder="2"/>
    </xf>
    <xf numFmtId="0" fontId="1" fillId="0" borderId="25" xfId="0" applyFont="1" applyBorder="1"/>
    <xf numFmtId="0" fontId="24" fillId="0" borderId="25" xfId="0" applyFont="1" applyBorder="1" applyAlignment="1">
      <alignment horizontal="right" vertical="center"/>
    </xf>
    <xf numFmtId="0" fontId="24" fillId="0" borderId="25" xfId="0" applyFont="1" applyBorder="1" applyAlignment="1">
      <alignment horizontal="right" vertical="center" wrapText="1" readingOrder="2"/>
    </xf>
    <xf numFmtId="0" fontId="34" fillId="0" borderId="25" xfId="0" applyFont="1" applyBorder="1" applyAlignment="1">
      <alignment horizontal="right" vertical="center" readingOrder="2"/>
    </xf>
    <xf numFmtId="0" fontId="2" fillId="0" borderId="25" xfId="0" applyFont="1" applyBorder="1"/>
    <xf numFmtId="0" fontId="1" fillId="0" borderId="8" xfId="0" applyFont="1" applyBorder="1" applyAlignment="1">
      <alignment horizontal="center"/>
    </xf>
    <xf numFmtId="0" fontId="1" fillId="7" borderId="23" xfId="0" applyFont="1" applyFill="1" applyBorder="1"/>
    <xf numFmtId="0" fontId="1" fillId="5" borderId="23" xfId="0" applyFont="1" applyFill="1" applyBorder="1"/>
    <xf numFmtId="0" fontId="1" fillId="7" borderId="23" xfId="0" applyFont="1" applyFill="1" applyBorder="1" applyAlignment="1">
      <alignment horizontal="center"/>
    </xf>
    <xf numFmtId="0" fontId="1" fillId="5" borderId="23" xfId="0" applyFont="1" applyFill="1" applyBorder="1" applyAlignment="1">
      <alignment horizontal="center"/>
    </xf>
    <xf numFmtId="0" fontId="1" fillId="11" borderId="19" xfId="0" applyFont="1" applyFill="1" applyBorder="1" applyAlignment="1">
      <alignment horizontal="center"/>
    </xf>
    <xf numFmtId="0" fontId="1" fillId="11" borderId="20" xfId="0" applyFont="1" applyFill="1" applyBorder="1" applyAlignment="1">
      <alignment horizontal="center"/>
    </xf>
    <xf numFmtId="0" fontId="1" fillId="2" borderId="23" xfId="0" applyFont="1" applyFill="1" applyBorder="1"/>
    <xf numFmtId="0" fontId="3" fillId="2" borderId="25" xfId="0" applyFont="1" applyFill="1" applyBorder="1"/>
    <xf numFmtId="0" fontId="8" fillId="0" borderId="25" xfId="0" applyFont="1" applyBorder="1" applyAlignment="1">
      <alignment horizontal="right" vertical="center" wrapText="1" readingOrder="2"/>
    </xf>
    <xf numFmtId="0" fontId="8" fillId="0" borderId="25" xfId="0" applyFont="1" applyBorder="1" applyAlignment="1">
      <alignment horizontal="right" vertical="center"/>
    </xf>
    <xf numFmtId="0" fontId="8" fillId="0" borderId="25" xfId="0" applyFont="1" applyBorder="1"/>
    <xf numFmtId="0" fontId="34" fillId="0" borderId="25" xfId="0" applyFont="1" applyBorder="1" applyAlignment="1">
      <alignment horizontal="right" vertical="center"/>
    </xf>
    <xf numFmtId="0" fontId="8" fillId="2" borderId="25" xfId="0" applyFont="1" applyFill="1" applyBorder="1"/>
    <xf numFmtId="0" fontId="1" fillId="0" borderId="26" xfId="0" applyFont="1" applyBorder="1"/>
    <xf numFmtId="0" fontId="1" fillId="0" borderId="26" xfId="0" applyFont="1" applyBorder="1" applyAlignment="1">
      <alignment horizontal="center"/>
    </xf>
    <xf numFmtId="0" fontId="1" fillId="19" borderId="0" xfId="0" applyFont="1" applyFill="1"/>
    <xf numFmtId="0" fontId="24" fillId="0" borderId="1" xfId="0" applyFont="1" applyBorder="1" applyAlignment="1">
      <alignment horizontal="right" vertical="center" readingOrder="2"/>
    </xf>
    <xf numFmtId="0" fontId="24" fillId="0" borderId="1" xfId="0" applyFont="1" applyBorder="1" applyAlignment="1">
      <alignment horizontal="center" vertical="center" readingOrder="2"/>
    </xf>
    <xf numFmtId="0" fontId="24" fillId="0" borderId="0" xfId="0" applyFont="1" applyAlignment="1">
      <alignment horizontal="center" vertical="center"/>
    </xf>
    <xf numFmtId="0" fontId="2" fillId="5" borderId="3" xfId="0" applyFont="1" applyFill="1" applyBorder="1"/>
    <xf numFmtId="0" fontId="2" fillId="5" borderId="22" xfId="0" applyFont="1" applyFill="1" applyBorder="1"/>
    <xf numFmtId="0" fontId="2" fillId="5" borderId="4" xfId="0" applyFont="1" applyFill="1" applyBorder="1"/>
    <xf numFmtId="0" fontId="2" fillId="5" borderId="12" xfId="0" applyFont="1" applyFill="1" applyBorder="1"/>
    <xf numFmtId="0" fontId="2" fillId="5" borderId="13" xfId="0" applyFont="1" applyFill="1" applyBorder="1"/>
    <xf numFmtId="0" fontId="2" fillId="5" borderId="5" xfId="0" applyFont="1" applyFill="1" applyBorder="1"/>
    <xf numFmtId="0" fontId="2" fillId="5" borderId="23" xfId="0" applyFont="1" applyFill="1" applyBorder="1"/>
    <xf numFmtId="0" fontId="2" fillId="5" borderId="6" xfId="0" applyFont="1" applyFill="1" applyBorder="1"/>
    <xf numFmtId="0" fontId="2" fillId="8" borderId="3" xfId="0" applyFont="1" applyFill="1" applyBorder="1"/>
    <xf numFmtId="0" fontId="2" fillId="8" borderId="4" xfId="0" applyFont="1" applyFill="1" applyBorder="1"/>
    <xf numFmtId="0" fontId="2" fillId="8" borderId="5" xfId="0" applyFont="1" applyFill="1" applyBorder="1"/>
    <xf numFmtId="0" fontId="2" fillId="8" borderId="6" xfId="0" applyFont="1" applyFill="1" applyBorder="1"/>
    <xf numFmtId="0" fontId="8" fillId="0" borderId="2" xfId="0" applyFont="1" applyBorder="1"/>
    <xf numFmtId="0" fontId="1" fillId="8" borderId="3" xfId="0" applyFont="1" applyFill="1" applyBorder="1"/>
    <xf numFmtId="0" fontId="1" fillId="8" borderId="4" xfId="0" applyFont="1" applyFill="1" applyBorder="1"/>
    <xf numFmtId="0" fontId="1" fillId="8" borderId="5" xfId="0" applyFont="1" applyFill="1" applyBorder="1"/>
    <xf numFmtId="0" fontId="1" fillId="8" borderId="6" xfId="0" applyFont="1" applyFill="1" applyBorder="1"/>
    <xf numFmtId="0" fontId="2" fillId="20" borderId="0" xfId="0" applyFont="1" applyFill="1" applyAlignment="1">
      <alignment horizontal="center"/>
    </xf>
    <xf numFmtId="0" fontId="1" fillId="20" borderId="0" xfId="0" applyFont="1" applyFill="1"/>
    <xf numFmtId="0" fontId="1" fillId="6" borderId="0" xfId="0" applyFont="1" applyFill="1" applyAlignment="1">
      <alignment horizontal="center"/>
    </xf>
    <xf numFmtId="0" fontId="2" fillId="15" borderId="0" xfId="0" applyFont="1" applyFill="1" applyAlignment="1">
      <alignment horizontal="center"/>
    </xf>
    <xf numFmtId="0" fontId="1" fillId="15" borderId="0" xfId="0" applyFont="1" applyFill="1"/>
    <xf numFmtId="0" fontId="8" fillId="0" borderId="0" xfId="0" applyFont="1" applyAlignment="1">
      <alignment horizontal="right" vertical="center" wrapText="1" readingOrder="2"/>
    </xf>
    <xf numFmtId="0" fontId="3" fillId="0" borderId="0" xfId="0" applyFont="1" applyAlignment="1">
      <alignment horizontal="center" vertical="center"/>
    </xf>
    <xf numFmtId="165" fontId="1" fillId="0" borderId="0" xfId="0" applyNumberFormat="1" applyFont="1"/>
    <xf numFmtId="165" fontId="1" fillId="2" borderId="0" xfId="0" applyNumberFormat="1" applyFont="1" applyFill="1"/>
    <xf numFmtId="165" fontId="8" fillId="0" borderId="0" xfId="0" applyNumberFormat="1" applyFont="1"/>
    <xf numFmtId="0" fontId="1" fillId="12" borderId="3" xfId="0" applyFont="1" applyFill="1" applyBorder="1"/>
    <xf numFmtId="165" fontId="1" fillId="12" borderId="4" xfId="0" applyNumberFormat="1" applyFont="1" applyFill="1" applyBorder="1"/>
    <xf numFmtId="0" fontId="1" fillId="12" borderId="5" xfId="0" applyFont="1" applyFill="1" applyBorder="1"/>
    <xf numFmtId="165" fontId="1" fillId="12" borderId="6" xfId="0" applyNumberFormat="1" applyFont="1" applyFill="1" applyBorder="1"/>
    <xf numFmtId="165" fontId="8" fillId="0" borderId="0" xfId="0" applyNumberFormat="1" applyFont="1" applyAlignment="1">
      <alignment horizontal="center"/>
    </xf>
    <xf numFmtId="0" fontId="8" fillId="0" borderId="0" xfId="0" applyFont="1" applyAlignment="1">
      <alignment horizontal="center" vertical="center"/>
    </xf>
    <xf numFmtId="165" fontId="1" fillId="0" borderId="8" xfId="0" applyNumberFormat="1" applyFont="1" applyBorder="1" applyAlignment="1">
      <alignment horizontal="center"/>
    </xf>
    <xf numFmtId="165" fontId="1" fillId="0" borderId="2" xfId="0" applyNumberFormat="1" applyFont="1" applyBorder="1"/>
    <xf numFmtId="14" fontId="1" fillId="0" borderId="21" xfId="0" applyNumberFormat="1" applyFont="1" applyBorder="1" applyAlignment="1">
      <alignment horizontal="center"/>
    </xf>
    <xf numFmtId="0" fontId="6" fillId="0" borderId="3" xfId="0" applyFont="1" applyBorder="1"/>
    <xf numFmtId="0" fontId="6" fillId="2" borderId="12" xfId="0" applyFont="1" applyFill="1" applyBorder="1"/>
    <xf numFmtId="0" fontId="6" fillId="0" borderId="19" xfId="0" applyFont="1" applyBorder="1"/>
    <xf numFmtId="0" fontId="4" fillId="0" borderId="13" xfId="0" applyFont="1" applyBorder="1"/>
    <xf numFmtId="0" fontId="12" fillId="0" borderId="23" xfId="1" applyFont="1" applyBorder="1"/>
    <xf numFmtId="0" fontId="2" fillId="21" borderId="0" xfId="0" applyFont="1" applyFill="1"/>
    <xf numFmtId="0" fontId="2" fillId="22" borderId="0" xfId="0" applyFont="1" applyFill="1"/>
    <xf numFmtId="0" fontId="2" fillId="21" borderId="19" xfId="0" applyFont="1" applyFill="1" applyBorder="1"/>
    <xf numFmtId="0" fontId="1" fillId="22" borderId="0" xfId="0" applyFont="1" applyFill="1"/>
    <xf numFmtId="0" fontId="7" fillId="0" borderId="0" xfId="0" applyFont="1" applyAlignment="1">
      <alignment horizontal="center"/>
    </xf>
    <xf numFmtId="3" fontId="7" fillId="2" borderId="0" xfId="0" applyNumberFormat="1" applyFont="1" applyFill="1" applyAlignment="1">
      <alignment horizontal="center"/>
    </xf>
    <xf numFmtId="0" fontId="7" fillId="0" borderId="0" xfId="0" applyFont="1" applyAlignment="1">
      <alignment horizontal="right"/>
    </xf>
    <xf numFmtId="0" fontId="7" fillId="0" borderId="19" xfId="0" applyFont="1" applyBorder="1"/>
    <xf numFmtId="0" fontId="7" fillId="0" borderId="20" xfId="0" applyFont="1" applyBorder="1"/>
    <xf numFmtId="0" fontId="1" fillId="23" borderId="0" xfId="0" applyFont="1" applyFill="1"/>
    <xf numFmtId="0" fontId="1" fillId="23" borderId="4" xfId="0" applyFont="1" applyFill="1" applyBorder="1" applyAlignment="1">
      <alignment horizontal="center"/>
    </xf>
    <xf numFmtId="0" fontId="1" fillId="23" borderId="13" xfId="0" applyFont="1" applyFill="1" applyBorder="1" applyAlignment="1">
      <alignment horizontal="center"/>
    </xf>
    <xf numFmtId="0" fontId="1" fillId="23" borderId="6" xfId="0" applyFont="1" applyFill="1" applyBorder="1" applyAlignment="1">
      <alignment horizontal="center"/>
    </xf>
    <xf numFmtId="0" fontId="1" fillId="23" borderId="24" xfId="0" applyFont="1" applyFill="1" applyBorder="1" applyAlignment="1">
      <alignment horizontal="center"/>
    </xf>
    <xf numFmtId="0" fontId="1" fillId="23" borderId="17" xfId="0" applyFont="1" applyFill="1" applyBorder="1" applyAlignment="1">
      <alignment horizontal="center"/>
    </xf>
    <xf numFmtId="0" fontId="1" fillId="23" borderId="18" xfId="0" applyFont="1" applyFill="1" applyBorder="1" applyAlignment="1">
      <alignment horizontal="center"/>
    </xf>
    <xf numFmtId="0" fontId="35" fillId="23" borderId="18" xfId="0" applyFont="1" applyFill="1" applyBorder="1" applyAlignment="1">
      <alignment horizontal="center"/>
    </xf>
    <xf numFmtId="0" fontId="20" fillId="23" borderId="18" xfId="0" applyFont="1" applyFill="1" applyBorder="1" applyAlignment="1">
      <alignment horizontal="center"/>
    </xf>
    <xf numFmtId="37" fontId="1" fillId="0" borderId="23" xfId="0" applyNumberFormat="1" applyFont="1" applyBorder="1" applyAlignment="1">
      <alignment horizontal="center"/>
    </xf>
    <xf numFmtId="37" fontId="1" fillId="2" borderId="0" xfId="0" applyNumberFormat="1" applyFont="1" applyFill="1" applyAlignment="1">
      <alignment horizontal="center"/>
    </xf>
    <xf numFmtId="0" fontId="6" fillId="0" borderId="4" xfId="0" applyFont="1" applyBorder="1"/>
    <xf numFmtId="0" fontId="2" fillId="0" borderId="8" xfId="0" applyFont="1" applyBorder="1" applyAlignment="1">
      <alignment horizontal="center"/>
    </xf>
    <xf numFmtId="0" fontId="2" fillId="0" borderId="22" xfId="0" applyFont="1" applyBorder="1"/>
    <xf numFmtId="0" fontId="2" fillId="0" borderId="4" xfId="0" applyFont="1" applyBorder="1"/>
    <xf numFmtId="0" fontId="1" fillId="0" borderId="6" xfId="0" applyFont="1" applyBorder="1" applyAlignment="1">
      <alignment horizontal="center"/>
    </xf>
    <xf numFmtId="0" fontId="1" fillId="2" borderId="12" xfId="0" applyFont="1" applyFill="1" applyBorder="1"/>
    <xf numFmtId="0" fontId="1" fillId="2" borderId="3" xfId="0" applyFont="1" applyFill="1" applyBorder="1"/>
    <xf numFmtId="37" fontId="4" fillId="0" borderId="0" xfId="0" applyNumberFormat="1" applyFont="1"/>
    <xf numFmtId="3" fontId="6" fillId="0" borderId="2" xfId="0" applyNumberFormat="1" applyFont="1" applyBorder="1"/>
    <xf numFmtId="3" fontId="1" fillId="0" borderId="4" xfId="0" applyNumberFormat="1" applyFont="1" applyBorder="1"/>
    <xf numFmtId="37" fontId="1" fillId="0" borderId="13" xfId="0" applyNumberFormat="1" applyFont="1" applyBorder="1"/>
    <xf numFmtId="37" fontId="7" fillId="8" borderId="6" xfId="0" applyNumberFormat="1" applyFont="1" applyFill="1" applyBorder="1"/>
    <xf numFmtId="3" fontId="6" fillId="4" borderId="13" xfId="0" applyNumberFormat="1" applyFont="1" applyFill="1" applyBorder="1"/>
    <xf numFmtId="0" fontId="1" fillId="0" borderId="27" xfId="0" applyFont="1" applyBorder="1"/>
    <xf numFmtId="0" fontId="1" fillId="0" borderId="28" xfId="0" applyFont="1" applyBorder="1"/>
    <xf numFmtId="0" fontId="2" fillId="9" borderId="0" xfId="0" applyFont="1" applyFill="1"/>
    <xf numFmtId="0" fontId="21" fillId="9" borderId="0" xfId="0" applyFont="1" applyFill="1"/>
    <xf numFmtId="0" fontId="1" fillId="0" borderId="24" xfId="0" applyFont="1" applyBorder="1"/>
    <xf numFmtId="0" fontId="6" fillId="9" borderId="0" xfId="0" applyFont="1" applyFill="1" applyAlignment="1">
      <alignment wrapText="1"/>
    </xf>
    <xf numFmtId="0" fontId="8" fillId="6" borderId="0" xfId="0" applyFont="1" applyFill="1"/>
    <xf numFmtId="0" fontId="7" fillId="2" borderId="21" xfId="0" applyFont="1" applyFill="1" applyBorder="1"/>
    <xf numFmtId="0" fontId="7" fillId="3" borderId="20" xfId="0" applyFont="1" applyFill="1" applyBorder="1"/>
    <xf numFmtId="0" fontId="7" fillId="9" borderId="21" xfId="0" applyFont="1" applyFill="1" applyBorder="1" applyAlignment="1">
      <alignment wrapText="1"/>
    </xf>
    <xf numFmtId="0" fontId="2" fillId="2" borderId="0" xfId="0" applyFont="1" applyFill="1" applyAlignment="1">
      <alignment wrapText="1"/>
    </xf>
    <xf numFmtId="0" fontId="1" fillId="0" borderId="17" xfId="0" applyFont="1" applyBorder="1" applyAlignment="1">
      <alignment wrapText="1"/>
    </xf>
    <xf numFmtId="0" fontId="1" fillId="0" borderId="18" xfId="0" applyFont="1" applyBorder="1" applyAlignment="1">
      <alignment wrapText="1"/>
    </xf>
    <xf numFmtId="0" fontId="1" fillId="0" borderId="16" xfId="0" applyFont="1" applyBorder="1" applyAlignment="1">
      <alignment wrapText="1"/>
    </xf>
    <xf numFmtId="0" fontId="1" fillId="0" borderId="29" xfId="0" applyFont="1" applyBorder="1"/>
    <xf numFmtId="0" fontId="40" fillId="0" borderId="0" xfId="0" applyFont="1"/>
    <xf numFmtId="3" fontId="6" fillId="10" borderId="18" xfId="0" applyNumberFormat="1" applyFont="1" applyFill="1" applyBorder="1" applyAlignment="1">
      <alignment horizontal="center"/>
    </xf>
    <xf numFmtId="3" fontId="6" fillId="11" borderId="19" xfId="0" applyNumberFormat="1" applyFont="1" applyFill="1" applyBorder="1" applyAlignment="1">
      <alignment horizontal="center"/>
    </xf>
    <xf numFmtId="14" fontId="6" fillId="0" borderId="1" xfId="0" applyNumberFormat="1" applyFont="1" applyBorder="1" applyAlignment="1">
      <alignment horizontal="center"/>
    </xf>
    <xf numFmtId="37" fontId="6" fillId="2" borderId="8" xfId="0" applyNumberFormat="1" applyFont="1" applyFill="1" applyBorder="1" applyAlignment="1">
      <alignment horizontal="center"/>
    </xf>
    <xf numFmtId="3" fontId="1" fillId="0" borderId="30" xfId="0" applyNumberFormat="1" applyFont="1" applyBorder="1"/>
    <xf numFmtId="37" fontId="6" fillId="2" borderId="19" xfId="0" applyNumberFormat="1" applyFont="1" applyFill="1" applyBorder="1" applyAlignment="1">
      <alignment horizontal="center"/>
    </xf>
    <xf numFmtId="37" fontId="6" fillId="2" borderId="20" xfId="0" applyNumberFormat="1" applyFont="1" applyFill="1" applyBorder="1" applyAlignment="1">
      <alignment horizontal="center"/>
    </xf>
    <xf numFmtId="0" fontId="27" fillId="9" borderId="0" xfId="0" applyFont="1" applyFill="1"/>
    <xf numFmtId="14" fontId="1" fillId="0" borderId="1" xfId="0" applyNumberFormat="1" applyFont="1" applyBorder="1"/>
    <xf numFmtId="0" fontId="1" fillId="17" borderId="0" xfId="0" applyFont="1" applyFill="1"/>
    <xf numFmtId="14" fontId="1" fillId="0" borderId="0" xfId="0" applyNumberFormat="1" applyFont="1" applyAlignment="1">
      <alignment horizontal="center"/>
    </xf>
    <xf numFmtId="0" fontId="41" fillId="0" borderId="0" xfId="0" applyFont="1"/>
    <xf numFmtId="0" fontId="41" fillId="23" borderId="0" xfId="0" applyFont="1" applyFill="1" applyAlignment="1">
      <alignment horizontal="left"/>
    </xf>
    <xf numFmtId="0" fontId="22" fillId="23" borderId="0" xfId="0" applyFont="1" applyFill="1" applyAlignment="1">
      <alignment horizontal="center"/>
    </xf>
    <xf numFmtId="0" fontId="1" fillId="23" borderId="0" xfId="0" applyFont="1" applyFill="1" applyAlignment="1">
      <alignment horizontal="center"/>
    </xf>
    <xf numFmtId="2" fontId="1" fillId="0" borderId="0" xfId="0" applyNumberFormat="1" applyFont="1"/>
    <xf numFmtId="169" fontId="1" fillId="0" borderId="0" xfId="0" applyNumberFormat="1" applyFont="1" applyAlignment="1">
      <alignment horizontal="center"/>
    </xf>
    <xf numFmtId="14" fontId="3" fillId="0" borderId="0" xfId="0" applyNumberFormat="1" applyFont="1"/>
    <xf numFmtId="14" fontId="12" fillId="0" borderId="0" xfId="1" applyNumberFormat="1" applyFont="1"/>
    <xf numFmtId="3" fontId="1" fillId="9" borderId="0" xfId="0" applyNumberFormat="1" applyFont="1" applyFill="1"/>
    <xf numFmtId="3" fontId="1" fillId="0" borderId="1" xfId="0" applyNumberFormat="1" applyFont="1" applyBorder="1"/>
    <xf numFmtId="14" fontId="14" fillId="0" borderId="0" xfId="0" applyNumberFormat="1" applyFont="1"/>
    <xf numFmtId="0" fontId="2" fillId="0" borderId="22" xfId="0" applyFont="1" applyBorder="1" applyAlignment="1">
      <alignment horizontal="center"/>
    </xf>
    <xf numFmtId="0" fontId="2" fillId="0" borderId="4" xfId="0" applyFont="1" applyBorder="1" applyAlignment="1">
      <alignment horizontal="center"/>
    </xf>
    <xf numFmtId="0" fontId="2" fillId="0" borderId="13" xfId="0" applyFont="1" applyBorder="1" applyAlignment="1">
      <alignment horizontal="center"/>
    </xf>
    <xf numFmtId="0" fontId="2" fillId="0" borderId="6" xfId="0" applyFont="1" applyBorder="1" applyAlignment="1">
      <alignment horizontal="center"/>
    </xf>
    <xf numFmtId="0" fontId="42" fillId="0" borderId="0" xfId="0" applyFont="1"/>
    <xf numFmtId="0" fontId="6" fillId="0" borderId="2" xfId="0" applyFont="1" applyBorder="1" applyAlignment="1">
      <alignment horizontal="center"/>
    </xf>
    <xf numFmtId="3" fontId="6" fillId="0" borderId="2" xfId="0" applyNumberFormat="1" applyFont="1" applyBorder="1" applyAlignment="1">
      <alignment horizontal="center"/>
    </xf>
    <xf numFmtId="3" fontId="6" fillId="5" borderId="2" xfId="0" applyNumberFormat="1" applyFont="1" applyFill="1" applyBorder="1" applyAlignment="1">
      <alignment horizontal="center"/>
    </xf>
    <xf numFmtId="37" fontId="6" fillId="0" borderId="2" xfId="0" applyNumberFormat="1" applyFont="1" applyBorder="1" applyAlignment="1">
      <alignment horizontal="center"/>
    </xf>
    <xf numFmtId="0" fontId="6" fillId="0" borderId="2" xfId="0" applyFont="1" applyBorder="1"/>
    <xf numFmtId="0" fontId="6" fillId="0" borderId="0" xfId="0" applyFont="1" applyAlignment="1">
      <alignment horizontal="right" vertical="center" wrapText="1" readingOrder="2"/>
    </xf>
    <xf numFmtId="0" fontId="6" fillId="0" borderId="0" xfId="0" applyFont="1" applyAlignment="1">
      <alignment horizontal="right" vertical="center"/>
    </xf>
    <xf numFmtId="167" fontId="6" fillId="2" borderId="0" xfId="0" applyNumberFormat="1" applyFont="1" applyFill="1" applyAlignment="1">
      <alignment horizontal="right"/>
    </xf>
    <xf numFmtId="0" fontId="6" fillId="2" borderId="0" xfId="0" applyFont="1" applyFill="1" applyAlignment="1">
      <alignment horizontal="right"/>
    </xf>
    <xf numFmtId="168" fontId="6" fillId="2" borderId="0" xfId="0" applyNumberFormat="1" applyFont="1" applyFill="1" applyAlignment="1">
      <alignment horizontal="right"/>
    </xf>
    <xf numFmtId="0" fontId="6" fillId="2" borderId="0" xfId="0" applyFont="1" applyFill="1" applyAlignment="1">
      <alignment horizontal="center"/>
    </xf>
    <xf numFmtId="0" fontId="8" fillId="5" borderId="0" xfId="0" applyFont="1" applyFill="1"/>
    <xf numFmtId="3" fontId="2" fillId="0" borderId="0" xfId="0" applyNumberFormat="1" applyFont="1" applyAlignment="1">
      <alignment horizontal="center"/>
    </xf>
    <xf numFmtId="0" fontId="7" fillId="2" borderId="3" xfId="0" applyFont="1" applyFill="1" applyBorder="1"/>
    <xf numFmtId="0" fontId="6" fillId="2" borderId="22" xfId="0" applyFont="1" applyFill="1" applyBorder="1"/>
    <xf numFmtId="0" fontId="1" fillId="2" borderId="22" xfId="0" applyFont="1" applyFill="1" applyBorder="1"/>
    <xf numFmtId="0" fontId="44" fillId="0" borderId="0" xfId="0" applyFont="1"/>
    <xf numFmtId="0" fontId="6" fillId="0" borderId="24" xfId="0" applyFont="1" applyBorder="1" applyAlignment="1">
      <alignment horizontal="center"/>
    </xf>
    <xf numFmtId="0" fontId="6" fillId="0" borderId="18" xfId="0" applyFont="1" applyBorder="1" applyAlignment="1">
      <alignment horizontal="center"/>
    </xf>
    <xf numFmtId="0" fontId="6" fillId="2" borderId="2" xfId="0" applyFont="1" applyFill="1" applyBorder="1" applyAlignment="1">
      <alignment horizontal="center"/>
    </xf>
    <xf numFmtId="0" fontId="6" fillId="21" borderId="20" xfId="0" applyFont="1" applyFill="1" applyBorder="1"/>
    <xf numFmtId="0" fontId="7" fillId="0" borderId="5" xfId="0" applyFont="1" applyBorder="1"/>
    <xf numFmtId="0" fontId="4" fillId="0" borderId="23" xfId="0" applyFont="1" applyBorder="1"/>
    <xf numFmtId="0" fontId="4" fillId="0" borderId="6" xfId="0" applyFont="1" applyBorder="1"/>
    <xf numFmtId="0" fontId="4" fillId="0" borderId="22" xfId="0" applyFont="1" applyBorder="1"/>
    <xf numFmtId="0" fontId="45" fillId="0" borderId="0" xfId="0" applyFont="1" applyAlignment="1">
      <alignment horizontal="center"/>
    </xf>
    <xf numFmtId="37" fontId="6" fillId="2" borderId="4" xfId="0" applyNumberFormat="1" applyFont="1" applyFill="1" applyBorder="1"/>
    <xf numFmtId="0" fontId="18" fillId="0" borderId="0" xfId="0" applyFont="1"/>
    <xf numFmtId="0" fontId="4" fillId="0" borderId="0" xfId="0" applyFont="1" applyAlignment="1">
      <alignment horizontal="right"/>
    </xf>
    <xf numFmtId="0" fontId="47" fillId="19" borderId="19" xfId="0" applyFont="1" applyFill="1" applyBorder="1"/>
    <xf numFmtId="0" fontId="48" fillId="19" borderId="21" xfId="0" applyFont="1" applyFill="1" applyBorder="1"/>
    <xf numFmtId="0" fontId="48" fillId="19" borderId="20" xfId="0" applyFont="1" applyFill="1" applyBorder="1"/>
    <xf numFmtId="0" fontId="1" fillId="19" borderId="2" xfId="0" applyFont="1" applyFill="1" applyBorder="1" applyAlignment="1">
      <alignment horizontal="center"/>
    </xf>
    <xf numFmtId="37" fontId="7" fillId="5" borderId="0" xfId="0" applyNumberFormat="1" applyFont="1" applyFill="1" applyAlignment="1">
      <alignment horizontal="center"/>
    </xf>
    <xf numFmtId="37" fontId="2" fillId="5" borderId="0" xfId="0" applyNumberFormat="1" applyFont="1" applyFill="1" applyAlignment="1">
      <alignment horizontal="center"/>
    </xf>
    <xf numFmtId="0" fontId="11" fillId="0" borderId="23" xfId="1" applyBorder="1"/>
    <xf numFmtId="0" fontId="16" fillId="0" borderId="1" xfId="0" applyFont="1" applyBorder="1"/>
    <xf numFmtId="0" fontId="2" fillId="24" borderId="0" xfId="0" applyFont="1" applyFill="1"/>
    <xf numFmtId="0" fontId="1" fillId="24" borderId="0" xfId="0" applyFont="1" applyFill="1"/>
    <xf numFmtId="0" fontId="6" fillId="3" borderId="21" xfId="0" applyFont="1" applyFill="1" applyBorder="1"/>
    <xf numFmtId="0" fontId="6" fillId="2" borderId="21" xfId="0" applyFont="1" applyFill="1" applyBorder="1" applyAlignment="1">
      <alignment wrapText="1"/>
    </xf>
    <xf numFmtId="0" fontId="1" fillId="0" borderId="24" xfId="0" applyFont="1" applyBorder="1" applyAlignment="1">
      <alignment wrapText="1"/>
    </xf>
    <xf numFmtId="0" fontId="1" fillId="0" borderId="24"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2" xfId="0" applyFont="1" applyBorder="1" applyAlignment="1">
      <alignment wrapText="1"/>
    </xf>
    <xf numFmtId="0" fontId="7" fillId="21" borderId="0" xfId="0" applyFont="1" applyFill="1"/>
    <xf numFmtId="0" fontId="37" fillId="9" borderId="0" xfId="0" applyFont="1" applyFill="1"/>
    <xf numFmtId="3" fontId="7" fillId="2" borderId="2" xfId="0" applyNumberFormat="1" applyFont="1" applyFill="1" applyBorder="1" applyAlignment="1">
      <alignment horizontal="center"/>
    </xf>
    <xf numFmtId="3" fontId="6" fillId="11" borderId="20" xfId="0" applyNumberFormat="1" applyFont="1" applyFill="1" applyBorder="1" applyAlignment="1">
      <alignment horizontal="center"/>
    </xf>
    <xf numFmtId="0" fontId="1" fillId="12" borderId="12" xfId="0" applyFont="1" applyFill="1" applyBorder="1" applyAlignment="1">
      <alignment horizontal="center" wrapText="1"/>
    </xf>
    <xf numFmtId="0" fontId="1" fillId="12" borderId="13" xfId="0" applyFont="1" applyFill="1" applyBorder="1" applyAlignment="1">
      <alignment horizontal="center" wrapText="1"/>
    </xf>
    <xf numFmtId="0" fontId="1" fillId="4" borderId="13" xfId="0" applyFont="1" applyFill="1" applyBorder="1" applyAlignment="1">
      <alignment horizontal="center"/>
    </xf>
    <xf numFmtId="0" fontId="1" fillId="4" borderId="12" xfId="0" applyFont="1" applyFill="1" applyBorder="1" applyAlignment="1">
      <alignment horizontal="center"/>
    </xf>
    <xf numFmtId="0" fontId="1" fillId="13" borderId="13" xfId="0" applyFont="1" applyFill="1" applyBorder="1" applyAlignment="1">
      <alignment horizontal="center"/>
    </xf>
    <xf numFmtId="0" fontId="1" fillId="13" borderId="12" xfId="0" applyFont="1" applyFill="1" applyBorder="1" applyAlignment="1">
      <alignment horizontal="center"/>
    </xf>
    <xf numFmtId="0" fontId="1" fillId="2" borderId="5" xfId="0" applyFont="1" applyFill="1" applyBorder="1" applyAlignment="1">
      <alignment horizontal="center" wrapText="1"/>
    </xf>
    <xf numFmtId="0" fontId="1" fillId="3" borderId="6" xfId="0" applyFont="1" applyFill="1" applyBorder="1" applyAlignment="1">
      <alignment horizontal="center" wrapText="1"/>
    </xf>
    <xf numFmtId="0" fontId="1" fillId="3" borderId="5" xfId="0" applyFont="1" applyFill="1" applyBorder="1" applyAlignment="1">
      <alignment horizontal="center"/>
    </xf>
    <xf numFmtId="0" fontId="1" fillId="0" borderId="5" xfId="0" applyFont="1" applyBorder="1" applyAlignment="1">
      <alignment horizontal="center"/>
    </xf>
    <xf numFmtId="0" fontId="6" fillId="25" borderId="0" xfId="0" applyFont="1" applyFill="1" applyAlignment="1">
      <alignment horizontal="center"/>
    </xf>
    <xf numFmtId="14" fontId="6" fillId="25" borderId="1" xfId="0" applyNumberFormat="1" applyFont="1" applyFill="1" applyBorder="1" applyAlignment="1">
      <alignment horizontal="center"/>
    </xf>
    <xf numFmtId="37" fontId="6" fillId="25" borderId="0" xfId="0" applyNumberFormat="1" applyFont="1" applyFill="1" applyAlignment="1">
      <alignment horizontal="center"/>
    </xf>
    <xf numFmtId="37" fontId="4" fillId="25" borderId="0" xfId="0" applyNumberFormat="1" applyFont="1" applyFill="1"/>
    <xf numFmtId="0" fontId="1" fillId="25" borderId="0" xfId="0" applyFont="1" applyFill="1" applyAlignment="1">
      <alignment horizontal="center"/>
    </xf>
    <xf numFmtId="14" fontId="1" fillId="25" borderId="1" xfId="0" applyNumberFormat="1" applyFont="1" applyFill="1" applyBorder="1" applyAlignment="1">
      <alignment horizontal="center"/>
    </xf>
    <xf numFmtId="37" fontId="1" fillId="25" borderId="0" xfId="0" applyNumberFormat="1" applyFont="1" applyFill="1" applyAlignment="1">
      <alignment horizontal="center"/>
    </xf>
    <xf numFmtId="37" fontId="1" fillId="25" borderId="0" xfId="0" applyNumberFormat="1" applyFont="1" applyFill="1"/>
    <xf numFmtId="3" fontId="1" fillId="16" borderId="0" xfId="0" applyNumberFormat="1" applyFont="1" applyFill="1" applyAlignment="1">
      <alignment horizontal="center"/>
    </xf>
    <xf numFmtId="3" fontId="1" fillId="0" borderId="24" xfId="0" applyNumberFormat="1" applyFont="1" applyBorder="1" applyAlignment="1">
      <alignment horizontal="center"/>
    </xf>
    <xf numFmtId="0" fontId="30" fillId="0" borderId="0" xfId="0" applyFont="1"/>
    <xf numFmtId="14" fontId="30" fillId="0" borderId="0" xfId="0" applyNumberFormat="1" applyFont="1"/>
    <xf numFmtId="0" fontId="1" fillId="11" borderId="0" xfId="0" applyFont="1" applyFill="1"/>
    <xf numFmtId="0" fontId="2" fillId="11" borderId="0" xfId="0" applyFont="1" applyFill="1"/>
    <xf numFmtId="0" fontId="6" fillId="0" borderId="1" xfId="0" applyFont="1" applyBorder="1" applyAlignment="1">
      <alignment horizontal="right" vertical="center" readingOrder="2"/>
    </xf>
    <xf numFmtId="0" fontId="6" fillId="0" borderId="1" xfId="0" applyFont="1" applyBorder="1" applyAlignment="1">
      <alignment horizontal="center"/>
    </xf>
    <xf numFmtId="0" fontId="6" fillId="0" borderId="0" xfId="0" applyFont="1" applyAlignment="1">
      <alignment horizontal="right" vertical="center" readingOrder="2"/>
    </xf>
    <xf numFmtId="0" fontId="6" fillId="22" borderId="0" xfId="0" applyFont="1" applyFill="1" applyAlignment="1">
      <alignment horizontal="center"/>
    </xf>
    <xf numFmtId="170" fontId="6" fillId="2" borderId="0" xfId="0" applyNumberFormat="1" applyFont="1" applyFill="1" applyAlignment="1">
      <alignment horizontal="center"/>
    </xf>
    <xf numFmtId="37" fontId="6" fillId="2" borderId="0" xfId="0" applyNumberFormat="1" applyFont="1" applyFill="1" applyAlignment="1">
      <alignment horizontal="center"/>
    </xf>
    <xf numFmtId="171" fontId="6" fillId="0" borderId="8" xfId="0" applyNumberFormat="1" applyFont="1" applyBorder="1" applyAlignment="1">
      <alignment horizontal="center"/>
    </xf>
    <xf numFmtId="3" fontId="6" fillId="0" borderId="8" xfId="0" applyNumberFormat="1" applyFont="1" applyBorder="1" applyAlignment="1">
      <alignment horizontal="center"/>
    </xf>
    <xf numFmtId="171" fontId="6" fillId="22" borderId="0" xfId="0" applyNumberFormat="1" applyFont="1" applyFill="1" applyAlignment="1">
      <alignment horizontal="center"/>
    </xf>
    <xf numFmtId="0" fontId="6" fillId="0" borderId="8" xfId="0" applyFont="1" applyBorder="1"/>
    <xf numFmtId="0" fontId="6" fillId="0" borderId="8" xfId="0" applyFont="1" applyBorder="1" applyAlignment="1">
      <alignment horizontal="center"/>
    </xf>
    <xf numFmtId="0" fontId="2" fillId="4" borderId="0" xfId="0" applyFont="1" applyFill="1"/>
    <xf numFmtId="0" fontId="1" fillId="26" borderId="0" xfId="0" applyFont="1" applyFill="1"/>
    <xf numFmtId="9" fontId="1" fillId="0" borderId="0" xfId="0" applyNumberFormat="1" applyFont="1"/>
    <xf numFmtId="37" fontId="1" fillId="2" borderId="0" xfId="0" applyNumberFormat="1" applyFont="1" applyFill="1"/>
    <xf numFmtId="0" fontId="1" fillId="27" borderId="0" xfId="0" applyFont="1" applyFill="1"/>
    <xf numFmtId="0" fontId="1" fillId="28" borderId="0" xfId="0" applyFont="1" applyFill="1"/>
    <xf numFmtId="0" fontId="2" fillId="28" borderId="0" xfId="0" applyFont="1" applyFill="1"/>
    <xf numFmtId="3" fontId="1" fillId="2" borderId="25" xfId="0" applyNumberFormat="1" applyFont="1" applyFill="1" applyBorder="1" applyAlignment="1">
      <alignment horizontal="center"/>
    </xf>
    <xf numFmtId="3" fontId="1" fillId="2" borderId="0" xfId="0" applyNumberFormat="1" applyFont="1" applyFill="1" applyAlignment="1">
      <alignment horizontal="center"/>
    </xf>
    <xf numFmtId="0" fontId="1" fillId="2" borderId="1" xfId="0" applyFont="1" applyFill="1" applyBorder="1" applyAlignment="1">
      <alignment wrapText="1"/>
    </xf>
    <xf numFmtId="3" fontId="6" fillId="2" borderId="0" xfId="0" applyNumberFormat="1" applyFont="1" applyFill="1"/>
    <xf numFmtId="0" fontId="41" fillId="0" borderId="0" xfId="0" applyFont="1" applyAlignment="1">
      <alignment horizontal="right"/>
    </xf>
    <xf numFmtId="0" fontId="1" fillId="7" borderId="8" xfId="0" applyFont="1" applyFill="1" applyBorder="1" applyAlignment="1">
      <alignment horizontal="center"/>
    </xf>
    <xf numFmtId="0" fontId="1" fillId="5" borderId="1" xfId="0" applyFont="1" applyFill="1" applyBorder="1"/>
    <xf numFmtId="0" fontId="6" fillId="0" borderId="27" xfId="0" applyFont="1" applyBorder="1"/>
    <xf numFmtId="0" fontId="6" fillId="0" borderId="28" xfId="0" applyFont="1" applyBorder="1"/>
    <xf numFmtId="0" fontId="7" fillId="0" borderId="13" xfId="0" applyFont="1" applyBorder="1"/>
    <xf numFmtId="0" fontId="7" fillId="0" borderId="23" xfId="0" applyFont="1" applyBorder="1"/>
    <xf numFmtId="0" fontId="7" fillId="0" borderId="6" xfId="0" applyFont="1" applyBorder="1"/>
    <xf numFmtId="0" fontId="2" fillId="2" borderId="2" xfId="0" applyFont="1" applyFill="1" applyBorder="1" applyAlignment="1">
      <alignment wrapText="1"/>
    </xf>
    <xf numFmtId="0" fontId="7" fillId="2" borderId="2" xfId="0" applyFont="1" applyFill="1" applyBorder="1" applyAlignment="1">
      <alignment wrapText="1"/>
    </xf>
    <xf numFmtId="0" fontId="1" fillId="11" borderId="3" xfId="0" applyFont="1" applyFill="1" applyBorder="1"/>
    <xf numFmtId="0" fontId="1" fillId="11" borderId="22" xfId="0" applyFont="1" applyFill="1" applyBorder="1"/>
    <xf numFmtId="0" fontId="1" fillId="11" borderId="4" xfId="0" applyFont="1" applyFill="1" applyBorder="1"/>
    <xf numFmtId="0" fontId="1" fillId="11" borderId="12" xfId="0" applyFont="1" applyFill="1" applyBorder="1"/>
    <xf numFmtId="0" fontId="1" fillId="11" borderId="13" xfId="0" applyFont="1" applyFill="1" applyBorder="1"/>
    <xf numFmtId="0" fontId="1" fillId="11" borderId="5" xfId="0" applyFont="1" applyFill="1" applyBorder="1"/>
    <xf numFmtId="0" fontId="1" fillId="11" borderId="23" xfId="0" applyFont="1" applyFill="1" applyBorder="1"/>
    <xf numFmtId="0" fontId="1" fillId="11" borderId="6" xfId="0" applyFont="1" applyFill="1" applyBorder="1"/>
    <xf numFmtId="0" fontId="1" fillId="2" borderId="10" xfId="0" applyFont="1" applyFill="1" applyBorder="1"/>
    <xf numFmtId="0" fontId="1" fillId="5" borderId="11" xfId="0" applyFont="1" applyFill="1" applyBorder="1"/>
    <xf numFmtId="0" fontId="1" fillId="11" borderId="1" xfId="0" applyFont="1" applyFill="1" applyBorder="1"/>
    <xf numFmtId="0" fontId="1" fillId="0" borderId="3" xfId="0" applyFont="1" applyBorder="1" applyAlignment="1">
      <alignment horizontal="center"/>
    </xf>
    <xf numFmtId="0" fontId="4" fillId="16" borderId="21" xfId="0" applyFont="1" applyFill="1" applyBorder="1" applyAlignment="1">
      <alignment wrapText="1"/>
    </xf>
    <xf numFmtId="0" fontId="1" fillId="0" borderId="11" xfId="0" applyFont="1" applyBorder="1"/>
    <xf numFmtId="0" fontId="1" fillId="3" borderId="1" xfId="0" applyFont="1" applyFill="1" applyBorder="1" applyAlignment="1">
      <alignment wrapText="1"/>
    </xf>
    <xf numFmtId="0" fontId="1" fillId="15" borderId="1" xfId="0" applyFont="1" applyFill="1" applyBorder="1"/>
    <xf numFmtId="0" fontId="1" fillId="17" borderId="1" xfId="0" applyFont="1" applyFill="1" applyBorder="1"/>
    <xf numFmtId="0" fontId="8" fillId="29" borderId="0" xfId="0" applyFont="1" applyFill="1" applyAlignment="1">
      <alignment readingOrder="2"/>
    </xf>
    <xf numFmtId="0" fontId="8" fillId="0" borderId="0" xfId="0" applyFont="1" applyAlignment="1">
      <alignment readingOrder="1"/>
    </xf>
    <xf numFmtId="0" fontId="8" fillId="0" borderId="0" xfId="0" applyFont="1" applyAlignment="1">
      <alignment readingOrder="2"/>
    </xf>
    <xf numFmtId="0" fontId="1" fillId="7" borderId="1" xfId="0" applyFont="1" applyFill="1" applyBorder="1"/>
    <xf numFmtId="0" fontId="1" fillId="22" borderId="1" xfId="0" applyFont="1" applyFill="1" applyBorder="1"/>
    <xf numFmtId="164" fontId="1" fillId="2" borderId="0" xfId="2" applyNumberFormat="1" applyFont="1" applyFill="1"/>
    <xf numFmtId="0" fontId="14" fillId="3" borderId="0" xfId="0" applyFont="1" applyFill="1"/>
    <xf numFmtId="0" fontId="1" fillId="3" borderId="0" xfId="0" applyFont="1" applyFill="1" applyAlignment="1">
      <alignment horizontal="right"/>
    </xf>
    <xf numFmtId="3" fontId="6" fillId="3" borderId="0" xfId="0" applyNumberFormat="1" applyFont="1" applyFill="1"/>
    <xf numFmtId="164" fontId="6" fillId="0" borderId="0" xfId="0" applyNumberFormat="1" applyFont="1"/>
    <xf numFmtId="0" fontId="6" fillId="0" borderId="23" xfId="0" applyFont="1" applyBorder="1" applyAlignment="1">
      <alignment horizontal="center"/>
    </xf>
    <xf numFmtId="0" fontId="6" fillId="0" borderId="6" xfId="0" applyFont="1" applyBorder="1" applyAlignment="1">
      <alignment horizontal="center"/>
    </xf>
    <xf numFmtId="37" fontId="1" fillId="5" borderId="0" xfId="0" applyNumberFormat="1" applyFont="1" applyFill="1" applyAlignment="1">
      <alignment horizontal="center"/>
    </xf>
    <xf numFmtId="3" fontId="2" fillId="0" borderId="8" xfId="0" applyNumberFormat="1" applyFont="1" applyBorder="1" applyAlignment="1">
      <alignment horizontal="center"/>
    </xf>
    <xf numFmtId="3" fontId="1" fillId="11" borderId="0" xfId="0" applyNumberFormat="1" applyFont="1" applyFill="1" applyAlignment="1">
      <alignment horizontal="center"/>
    </xf>
    <xf numFmtId="3" fontId="1" fillId="2" borderId="5" xfId="0" applyNumberFormat="1" applyFont="1" applyFill="1" applyBorder="1" applyAlignment="1">
      <alignment horizontal="center" wrapText="1"/>
    </xf>
    <xf numFmtId="14" fontId="1" fillId="0" borderId="10" xfId="0" applyNumberFormat="1" applyFont="1" applyBorder="1"/>
    <xf numFmtId="37" fontId="1" fillId="0" borderId="13" xfId="0" applyNumberFormat="1" applyFont="1" applyBorder="1" applyAlignment="1">
      <alignment horizontal="center"/>
    </xf>
    <xf numFmtId="37" fontId="1" fillId="0" borderId="6" xfId="0" applyNumberFormat="1" applyFont="1" applyBorder="1" applyAlignment="1">
      <alignment horizontal="center"/>
    </xf>
    <xf numFmtId="3" fontId="7" fillId="10" borderId="18" xfId="0" applyNumberFormat="1" applyFont="1" applyFill="1" applyBorder="1" applyAlignment="1">
      <alignment horizontal="center"/>
    </xf>
    <xf numFmtId="37" fontId="1" fillId="13" borderId="13" xfId="0" applyNumberFormat="1" applyFont="1" applyFill="1" applyBorder="1" applyAlignment="1">
      <alignment horizontal="center"/>
    </xf>
    <xf numFmtId="37" fontId="1" fillId="13" borderId="12" xfId="0" applyNumberFormat="1" applyFont="1" applyFill="1" applyBorder="1" applyAlignment="1">
      <alignment horizontal="center"/>
    </xf>
    <xf numFmtId="0" fontId="2" fillId="2" borderId="12" xfId="0" applyFont="1" applyFill="1" applyBorder="1"/>
    <xf numFmtId="0" fontId="2" fillId="2" borderId="13" xfId="0" applyFont="1" applyFill="1" applyBorder="1"/>
    <xf numFmtId="0" fontId="1" fillId="2" borderId="5" xfId="0" applyFont="1" applyFill="1" applyBorder="1"/>
    <xf numFmtId="0" fontId="2" fillId="2" borderId="23" xfId="0" applyFont="1" applyFill="1" applyBorder="1"/>
    <xf numFmtId="0" fontId="2" fillId="2" borderId="6" xfId="0" applyFont="1" applyFill="1" applyBorder="1"/>
    <xf numFmtId="37" fontId="3" fillId="2" borderId="21" xfId="0" applyNumberFormat="1" applyFont="1" applyFill="1" applyBorder="1" applyAlignment="1">
      <alignment horizontal="center"/>
    </xf>
    <xf numFmtId="1" fontId="1" fillId="0" borderId="0" xfId="0" applyNumberFormat="1" applyFont="1"/>
    <xf numFmtId="168" fontId="6" fillId="0" borderId="0" xfId="0" applyNumberFormat="1" applyFont="1" applyAlignment="1">
      <alignment horizontal="center"/>
    </xf>
    <xf numFmtId="14" fontId="1" fillId="2" borderId="19" xfId="0" applyNumberFormat="1" applyFont="1" applyFill="1" applyBorder="1" applyAlignment="1">
      <alignment horizontal="center"/>
    </xf>
    <xf numFmtId="0" fontId="1" fillId="0" borderId="20" xfId="0" applyFont="1" applyBorder="1" applyAlignment="1">
      <alignment horizontal="center"/>
    </xf>
    <xf numFmtId="1" fontId="6" fillId="0" borderId="0" xfId="0" applyNumberFormat="1" applyFont="1"/>
    <xf numFmtId="14" fontId="6" fillId="0" borderId="3" xfId="0" applyNumberFormat="1" applyFont="1" applyBorder="1" applyAlignment="1">
      <alignment horizontal="center"/>
    </xf>
    <xf numFmtId="14" fontId="6" fillId="2" borderId="22" xfId="0" applyNumberFormat="1" applyFont="1" applyFill="1" applyBorder="1" applyAlignment="1">
      <alignment horizontal="center"/>
    </xf>
    <xf numFmtId="0" fontId="6" fillId="0" borderId="4" xfId="0" applyFont="1" applyBorder="1" applyAlignment="1">
      <alignment horizontal="center"/>
    </xf>
    <xf numFmtId="0" fontId="6" fillId="0" borderId="22" xfId="0" applyFont="1" applyBorder="1" applyAlignment="1">
      <alignment horizontal="center"/>
    </xf>
    <xf numFmtId="14" fontId="6" fillId="5" borderId="5" xfId="0" applyNumberFormat="1" applyFont="1" applyFill="1" applyBorder="1" applyAlignment="1">
      <alignment horizontal="center"/>
    </xf>
    <xf numFmtId="14" fontId="6" fillId="0" borderId="23" xfId="0" applyNumberFormat="1" applyFont="1" applyBorder="1" applyAlignment="1">
      <alignment horizontal="center"/>
    </xf>
    <xf numFmtId="14" fontId="6" fillId="5" borderId="22" xfId="0" applyNumberFormat="1" applyFont="1" applyFill="1" applyBorder="1" applyAlignment="1">
      <alignment horizontal="center"/>
    </xf>
    <xf numFmtId="14" fontId="6" fillId="0" borderId="5" xfId="0" applyNumberFormat="1" applyFont="1" applyBorder="1" applyAlignment="1">
      <alignment horizontal="center"/>
    </xf>
    <xf numFmtId="14" fontId="1" fillId="3" borderId="0" xfId="0" applyNumberFormat="1" applyFont="1" applyFill="1"/>
    <xf numFmtId="14" fontId="1" fillId="15" borderId="0" xfId="0" applyNumberFormat="1" applyFont="1" applyFill="1"/>
    <xf numFmtId="37" fontId="1" fillId="0" borderId="19" xfId="0" applyNumberFormat="1" applyFont="1" applyBorder="1"/>
    <xf numFmtId="37" fontId="1" fillId="0" borderId="21" xfId="0" applyNumberFormat="1" applyFont="1" applyBorder="1"/>
    <xf numFmtId="37" fontId="1" fillId="0" borderId="20" xfId="0" applyNumberFormat="1" applyFont="1" applyBorder="1"/>
    <xf numFmtId="0" fontId="24" fillId="0" borderId="1" xfId="0" applyFont="1" applyBorder="1" applyAlignment="1">
      <alignment horizontal="center" readingOrder="2"/>
    </xf>
    <xf numFmtId="0" fontId="24" fillId="0" borderId="0" xfId="0" applyFont="1" applyAlignment="1">
      <alignment horizontal="center" readingOrder="2"/>
    </xf>
    <xf numFmtId="14" fontId="24" fillId="0" borderId="0" xfId="0" applyNumberFormat="1" applyFont="1" applyAlignment="1">
      <alignment horizontal="center" readingOrder="1"/>
    </xf>
    <xf numFmtId="3" fontId="24" fillId="0" borderId="0" xfId="0" applyNumberFormat="1" applyFont="1" applyAlignment="1">
      <alignment horizontal="center" readingOrder="1"/>
    </xf>
    <xf numFmtId="0" fontId="24" fillId="0" borderId="0" xfId="0" applyFont="1" applyAlignment="1">
      <alignment horizontal="center" readingOrder="1"/>
    </xf>
    <xf numFmtId="3" fontId="1" fillId="0" borderId="32" xfId="0" applyNumberFormat="1" applyFont="1" applyBorder="1" applyAlignment="1">
      <alignment horizontal="center"/>
    </xf>
    <xf numFmtId="3" fontId="1" fillId="0" borderId="9" xfId="0" applyNumberFormat="1" applyFont="1" applyBorder="1" applyAlignment="1">
      <alignment horizontal="center"/>
    </xf>
    <xf numFmtId="3" fontId="1" fillId="0" borderId="33" xfId="0" applyNumberFormat="1" applyFont="1" applyBorder="1" applyAlignment="1">
      <alignment horizontal="center"/>
    </xf>
    <xf numFmtId="3" fontId="1" fillId="0" borderId="36" xfId="0" applyNumberFormat="1" applyFont="1" applyBorder="1" applyAlignment="1">
      <alignment horizontal="center"/>
    </xf>
    <xf numFmtId="37" fontId="1" fillId="0" borderId="34" xfId="0" applyNumberFormat="1" applyFont="1" applyBorder="1" applyAlignment="1">
      <alignment horizontal="center"/>
    </xf>
    <xf numFmtId="37" fontId="1" fillId="0" borderId="35" xfId="0" applyNumberFormat="1" applyFont="1" applyBorder="1" applyAlignment="1">
      <alignment horizontal="center"/>
    </xf>
    <xf numFmtId="37" fontId="24" fillId="0" borderId="0" xfId="0" applyNumberFormat="1" applyFont="1" applyAlignment="1">
      <alignment horizontal="left" readingOrder="1"/>
    </xf>
    <xf numFmtId="37" fontId="1" fillId="0" borderId="19" xfId="0" applyNumberFormat="1" applyFont="1" applyBorder="1" applyAlignment="1">
      <alignment horizontal="center"/>
    </xf>
    <xf numFmtId="37" fontId="1" fillId="0" borderId="21" xfId="0" applyNumberFormat="1" applyFont="1" applyBorder="1" applyAlignment="1">
      <alignment horizontal="center"/>
    </xf>
    <xf numFmtId="37" fontId="1" fillId="0" borderId="20" xfId="0" applyNumberFormat="1" applyFont="1" applyBorder="1" applyAlignment="1">
      <alignment horizontal="center"/>
    </xf>
    <xf numFmtId="37" fontId="1" fillId="2" borderId="2" xfId="0" applyNumberFormat="1" applyFont="1" applyFill="1" applyBorder="1" applyAlignment="1">
      <alignment horizontal="center"/>
    </xf>
    <xf numFmtId="3" fontId="2" fillId="0" borderId="0" xfId="0" applyNumberFormat="1" applyFont="1"/>
    <xf numFmtId="37" fontId="2" fillId="2" borderId="2" xfId="0" applyNumberFormat="1" applyFont="1" applyFill="1" applyBorder="1" applyAlignment="1">
      <alignment horizontal="center"/>
    </xf>
    <xf numFmtId="37" fontId="2" fillId="0" borderId="0" xfId="0" applyNumberFormat="1" applyFont="1" applyAlignment="1">
      <alignment horizontal="center"/>
    </xf>
    <xf numFmtId="37" fontId="8" fillId="0" borderId="0" xfId="0" applyNumberFormat="1" applyFont="1" applyAlignment="1">
      <alignment horizontal="center"/>
    </xf>
    <xf numFmtId="0" fontId="27" fillId="0" borderId="0" xfId="0" applyFont="1"/>
    <xf numFmtId="0" fontId="27" fillId="22" borderId="0" xfId="0" applyFont="1" applyFill="1"/>
    <xf numFmtId="0" fontId="2" fillId="0" borderId="37" xfId="0" applyFont="1" applyBorder="1"/>
    <xf numFmtId="0" fontId="2" fillId="0" borderId="38" xfId="0" applyFont="1" applyBorder="1"/>
    <xf numFmtId="3" fontId="2" fillId="0" borderId="38" xfId="0" applyNumberFormat="1" applyFont="1" applyBorder="1"/>
    <xf numFmtId="0" fontId="1" fillId="0" borderId="38" xfId="0" applyFont="1" applyBorder="1"/>
    <xf numFmtId="0" fontId="1" fillId="0" borderId="39" xfId="0" applyFont="1" applyBorder="1"/>
    <xf numFmtId="0" fontId="2" fillId="0" borderId="40" xfId="0" applyFont="1" applyBorder="1"/>
    <xf numFmtId="0" fontId="1" fillId="0" borderId="41" xfId="0" applyFont="1" applyBorder="1"/>
    <xf numFmtId="0" fontId="2" fillId="0" borderId="42" xfId="0" applyFont="1" applyBorder="1"/>
    <xf numFmtId="0" fontId="2" fillId="0" borderId="43" xfId="0" applyFont="1" applyBorder="1"/>
    <xf numFmtId="3" fontId="2" fillId="2" borderId="44" xfId="0" applyNumberFormat="1" applyFont="1" applyFill="1" applyBorder="1"/>
    <xf numFmtId="0" fontId="1" fillId="0" borderId="43" xfId="0" applyFont="1" applyBorder="1"/>
    <xf numFmtId="0" fontId="1" fillId="0" borderId="45" xfId="0" applyFont="1" applyBorder="1"/>
    <xf numFmtId="14" fontId="1" fillId="5" borderId="0" xfId="0" applyNumberFormat="1" applyFont="1" applyFill="1"/>
    <xf numFmtId="0" fontId="2" fillId="0" borderId="7" xfId="0" applyFont="1" applyBorder="1" applyAlignment="1">
      <alignment horizontal="center"/>
    </xf>
    <xf numFmtId="37" fontId="2" fillId="2" borderId="20" xfId="0" applyNumberFormat="1" applyFont="1" applyFill="1" applyBorder="1" applyAlignment="1">
      <alignment horizontal="center"/>
    </xf>
    <xf numFmtId="0" fontId="51" fillId="0" borderId="19" xfId="0" applyFont="1" applyBorder="1"/>
    <xf numFmtId="0" fontId="2" fillId="0" borderId="46" xfId="0" applyFont="1" applyBorder="1"/>
    <xf numFmtId="0" fontId="1" fillId="0" borderId="47" xfId="0" applyFont="1" applyBorder="1"/>
    <xf numFmtId="0" fontId="1" fillId="0" borderId="48" xfId="0" applyFont="1" applyBorder="1"/>
    <xf numFmtId="0" fontId="1" fillId="0" borderId="49" xfId="0" applyFont="1" applyBorder="1"/>
    <xf numFmtId="37" fontId="1" fillId="0" borderId="50" xfId="0" applyNumberFormat="1" applyFont="1" applyBorder="1"/>
    <xf numFmtId="0" fontId="1" fillId="0" borderId="51" xfId="0" applyFont="1" applyBorder="1"/>
    <xf numFmtId="0" fontId="1" fillId="0" borderId="52" xfId="0" applyFont="1" applyBorder="1"/>
    <xf numFmtId="37" fontId="1" fillId="0" borderId="53" xfId="0" applyNumberFormat="1" applyFont="1" applyBorder="1"/>
    <xf numFmtId="0" fontId="1" fillId="0" borderId="25" xfId="0" applyFont="1" applyBorder="1" applyAlignment="1">
      <alignment horizontal="center"/>
    </xf>
    <xf numFmtId="3" fontId="1" fillId="0" borderId="25" xfId="0" applyNumberFormat="1" applyFont="1" applyBorder="1" applyAlignment="1">
      <alignment horizontal="center"/>
    </xf>
    <xf numFmtId="0" fontId="1" fillId="0" borderId="25" xfId="0" applyFont="1" applyBorder="1" applyAlignment="1">
      <alignment horizontal="center" wrapText="1"/>
    </xf>
    <xf numFmtId="0" fontId="10" fillId="0" borderId="24" xfId="0" applyFont="1" applyBorder="1" applyAlignment="1">
      <alignment horizontal="center"/>
    </xf>
    <xf numFmtId="0" fontId="10" fillId="0" borderId="18" xfId="0" applyFont="1" applyBorder="1" applyAlignment="1">
      <alignment horizontal="center"/>
    </xf>
    <xf numFmtId="37" fontId="1" fillId="0" borderId="25" xfId="0" applyNumberFormat="1" applyFont="1" applyBorder="1" applyAlignment="1">
      <alignment horizontal="center"/>
    </xf>
    <xf numFmtId="3" fontId="1" fillId="11" borderId="25" xfId="0" applyNumberFormat="1" applyFont="1" applyFill="1" applyBorder="1" applyAlignment="1">
      <alignment horizontal="center"/>
    </xf>
    <xf numFmtId="0" fontId="2" fillId="11" borderId="0" xfId="0" applyFont="1" applyFill="1" applyAlignment="1">
      <alignment horizontal="center"/>
    </xf>
    <xf numFmtId="0" fontId="41" fillId="0" borderId="25" xfId="0" applyFont="1" applyBorder="1" applyAlignment="1">
      <alignment horizontal="center"/>
    </xf>
    <xf numFmtId="0" fontId="41" fillId="0" borderId="25" xfId="0" applyFont="1" applyBorder="1" applyAlignment="1">
      <alignment horizontal="center" wrapText="1"/>
    </xf>
    <xf numFmtId="0" fontId="1" fillId="2" borderId="25" xfId="0" applyFont="1" applyFill="1" applyBorder="1"/>
    <xf numFmtId="0" fontId="1" fillId="2" borderId="25" xfId="0" applyFont="1" applyFill="1" applyBorder="1" applyAlignment="1">
      <alignment horizontal="center"/>
    </xf>
    <xf numFmtId="37" fontId="1" fillId="0" borderId="25" xfId="0" applyNumberFormat="1" applyFont="1" applyBorder="1" applyAlignment="1">
      <alignment horizontal="center" wrapText="1"/>
    </xf>
    <xf numFmtId="0" fontId="2" fillId="0" borderId="25" xfId="0" applyFont="1" applyBorder="1" applyAlignment="1">
      <alignment horizontal="center"/>
    </xf>
    <xf numFmtId="37" fontId="2" fillId="2" borderId="25" xfId="0" applyNumberFormat="1" applyFont="1" applyFill="1" applyBorder="1" applyAlignment="1">
      <alignment horizontal="center"/>
    </xf>
    <xf numFmtId="0" fontId="52" fillId="22" borderId="0" xfId="0" applyFont="1" applyFill="1"/>
    <xf numFmtId="0" fontId="52" fillId="22" borderId="0" xfId="0" applyFont="1" applyFill="1" applyAlignment="1">
      <alignment horizontal="center"/>
    </xf>
    <xf numFmtId="0" fontId="7" fillId="2" borderId="0" xfId="0" applyFont="1" applyFill="1" applyAlignment="1">
      <alignment horizontal="center"/>
    </xf>
    <xf numFmtId="0" fontId="6" fillId="0" borderId="21" xfId="0" applyFont="1" applyBorder="1" applyAlignment="1">
      <alignment horizontal="center"/>
    </xf>
    <xf numFmtId="0" fontId="1" fillId="18" borderId="0" xfId="0" applyFont="1" applyFill="1"/>
    <xf numFmtId="0" fontId="1" fillId="18" borderId="0" xfId="0" applyFont="1" applyFill="1" applyAlignment="1">
      <alignment horizontal="center"/>
    </xf>
    <xf numFmtId="14" fontId="1" fillId="0" borderId="3" xfId="0" applyNumberFormat="1" applyFont="1" applyBorder="1"/>
    <xf numFmtId="14" fontId="1" fillId="0" borderId="12" xfId="0" applyNumberFormat="1" applyFont="1" applyBorder="1"/>
    <xf numFmtId="14" fontId="1" fillId="0" borderId="19" xfId="0" applyNumberFormat="1" applyFont="1" applyBorder="1"/>
    <xf numFmtId="9" fontId="1" fillId="0" borderId="0" xfId="3" applyFont="1" applyAlignment="1">
      <alignment horizontal="center"/>
    </xf>
    <xf numFmtId="37" fontId="2" fillId="0" borderId="2" xfId="0" applyNumberFormat="1" applyFont="1" applyBorder="1" applyAlignment="1">
      <alignment horizontal="center"/>
    </xf>
    <xf numFmtId="0" fontId="2" fillId="0" borderId="2" xfId="0" applyFont="1" applyBorder="1" applyAlignment="1">
      <alignment horizontal="center"/>
    </xf>
    <xf numFmtId="14" fontId="1" fillId="2" borderId="19" xfId="0" applyNumberFormat="1" applyFont="1" applyFill="1" applyBorder="1"/>
    <xf numFmtId="0" fontId="1" fillId="2" borderId="21" xfId="0" applyFont="1" applyFill="1" applyBorder="1"/>
    <xf numFmtId="0" fontId="1" fillId="2" borderId="21" xfId="0" applyFont="1" applyFill="1" applyBorder="1" applyAlignment="1">
      <alignment horizontal="center"/>
    </xf>
    <xf numFmtId="0" fontId="6" fillId="6" borderId="0" xfId="0" applyFont="1" applyFill="1" applyAlignment="1">
      <alignment horizontal="center" wrapText="1"/>
    </xf>
    <xf numFmtId="0" fontId="6" fillId="16" borderId="19" xfId="0" applyFont="1" applyFill="1" applyBorder="1" applyAlignment="1">
      <alignment horizontal="center"/>
    </xf>
    <xf numFmtId="0" fontId="8" fillId="0" borderId="13" xfId="0" applyFont="1" applyBorder="1" applyAlignment="1">
      <alignment horizontal="center"/>
    </xf>
    <xf numFmtId="0" fontId="8" fillId="0" borderId="6" xfId="0" applyFont="1" applyBorder="1" applyAlignment="1">
      <alignment horizontal="center"/>
    </xf>
    <xf numFmtId="0" fontId="8" fillId="0" borderId="3" xfId="0" applyFont="1" applyBorder="1"/>
    <xf numFmtId="0" fontId="1" fillId="2" borderId="4" xfId="0" applyFont="1" applyFill="1" applyBorder="1"/>
    <xf numFmtId="0" fontId="1" fillId="2" borderId="13" xfId="0" applyFont="1" applyFill="1" applyBorder="1"/>
    <xf numFmtId="0" fontId="1" fillId="2" borderId="6" xfId="0" applyFont="1" applyFill="1" applyBorder="1"/>
    <xf numFmtId="0" fontId="1" fillId="0" borderId="54" xfId="0" applyFont="1" applyBorder="1"/>
    <xf numFmtId="0" fontId="3" fillId="0" borderId="17" xfId="0" applyFont="1" applyBorder="1"/>
    <xf numFmtId="0" fontId="15" fillId="0" borderId="23" xfId="0" applyFont="1" applyBorder="1"/>
    <xf numFmtId="0" fontId="2" fillId="0" borderId="24" xfId="0" applyFont="1" applyBorder="1"/>
    <xf numFmtId="0" fontId="2" fillId="0" borderId="17" xfId="0" applyFont="1" applyBorder="1"/>
    <xf numFmtId="0" fontId="53" fillId="11" borderId="2" xfId="0" applyFont="1" applyFill="1" applyBorder="1" applyAlignment="1">
      <alignment horizontal="right"/>
    </xf>
    <xf numFmtId="0" fontId="6" fillId="0" borderId="17" xfId="0" applyFont="1" applyBorder="1"/>
    <xf numFmtId="0" fontId="3" fillId="0" borderId="18" xfId="0" applyFont="1" applyBorder="1"/>
    <xf numFmtId="0" fontId="7" fillId="0" borderId="17" xfId="0" applyFont="1" applyBorder="1"/>
    <xf numFmtId="0" fontId="7" fillId="0" borderId="18" xfId="0" applyFont="1" applyBorder="1"/>
    <xf numFmtId="0" fontId="1" fillId="0" borderId="19" xfId="0" applyFont="1" applyBorder="1" applyAlignment="1">
      <alignment horizontal="center"/>
    </xf>
    <xf numFmtId="0" fontId="2" fillId="5" borderId="19" xfId="0" applyFont="1" applyFill="1" applyBorder="1"/>
    <xf numFmtId="0" fontId="2" fillId="5" borderId="21" xfId="0" applyFont="1" applyFill="1" applyBorder="1"/>
    <xf numFmtId="0" fontId="2" fillId="5" borderId="20" xfId="0" applyFont="1" applyFill="1" applyBorder="1"/>
    <xf numFmtId="0" fontId="3" fillId="2" borderId="0" xfId="0" applyFont="1" applyFill="1"/>
    <xf numFmtId="165" fontId="8" fillId="2" borderId="0" xfId="0" applyNumberFormat="1" applyFont="1" applyFill="1"/>
    <xf numFmtId="0" fontId="54" fillId="0" borderId="22" xfId="0" applyFont="1" applyBorder="1"/>
    <xf numFmtId="0" fontId="54" fillId="0" borderId="0" xfId="0" applyFont="1"/>
    <xf numFmtId="0" fontId="54" fillId="0" borderId="23" xfId="0" applyFont="1" applyBorder="1"/>
    <xf numFmtId="0" fontId="21" fillId="0" borderId="3" xfId="0" applyFont="1" applyBorder="1"/>
    <xf numFmtId="0" fontId="21" fillId="0" borderId="12" xfId="0" applyFont="1" applyBorder="1"/>
    <xf numFmtId="0" fontId="21" fillId="0" borderId="5" xfId="0" applyFont="1" applyBorder="1"/>
    <xf numFmtId="172" fontId="1" fillId="0" borderId="2" xfId="0" applyNumberFormat="1" applyFont="1" applyBorder="1"/>
    <xf numFmtId="0" fontId="6" fillId="2" borderId="17" xfId="0" applyFont="1" applyFill="1" applyBorder="1"/>
    <xf numFmtId="0" fontId="6" fillId="2" borderId="18" xfId="0" applyFont="1" applyFill="1" applyBorder="1"/>
    <xf numFmtId="0" fontId="6" fillId="26" borderId="0" xfId="0" applyFont="1" applyFill="1"/>
    <xf numFmtId="165" fontId="6" fillId="0" borderId="0" xfId="0" applyNumberFormat="1" applyFont="1"/>
    <xf numFmtId="165" fontId="6" fillId="2" borderId="0" xfId="0" applyNumberFormat="1" applyFont="1" applyFill="1"/>
    <xf numFmtId="165" fontId="6" fillId="0" borderId="4" xfId="0" applyNumberFormat="1" applyFont="1" applyBorder="1"/>
    <xf numFmtId="165" fontId="6" fillId="0" borderId="6" xfId="0" applyNumberFormat="1" applyFont="1" applyBorder="1"/>
    <xf numFmtId="0" fontId="6" fillId="0" borderId="24" xfId="0" applyFont="1" applyBorder="1"/>
    <xf numFmtId="0" fontId="6" fillId="0" borderId="18" xfId="0" applyFont="1" applyBorder="1"/>
    <xf numFmtId="172" fontId="6" fillId="0" borderId="0" xfId="0" applyNumberFormat="1" applyFont="1"/>
    <xf numFmtId="0" fontId="22" fillId="0" borderId="0" xfId="0" applyFont="1"/>
    <xf numFmtId="165" fontId="6" fillId="0" borderId="2" xfId="0" applyNumberFormat="1" applyFont="1" applyBorder="1"/>
    <xf numFmtId="0" fontId="2" fillId="0" borderId="2" xfId="0" applyFont="1" applyBorder="1"/>
    <xf numFmtId="165" fontId="1" fillId="0" borderId="21" xfId="0" applyNumberFormat="1" applyFont="1" applyBorder="1"/>
    <xf numFmtId="165" fontId="2" fillId="2" borderId="20" xfId="0" applyNumberFormat="1" applyFont="1" applyFill="1" applyBorder="1"/>
    <xf numFmtId="165" fontId="2" fillId="0" borderId="2" xfId="0" applyNumberFormat="1" applyFont="1" applyBorder="1"/>
    <xf numFmtId="3" fontId="1" fillId="0" borderId="1" xfId="0" applyNumberFormat="1" applyFont="1" applyBorder="1" applyAlignment="1">
      <alignment horizontal="center"/>
    </xf>
    <xf numFmtId="0" fontId="1" fillId="0" borderId="10" xfId="0" applyFont="1" applyBorder="1"/>
    <xf numFmtId="37" fontId="1" fillId="0" borderId="26" xfId="0" applyNumberFormat="1" applyFont="1" applyBorder="1" applyAlignment="1">
      <alignment horizontal="center"/>
    </xf>
    <xf numFmtId="37" fontId="1" fillId="0" borderId="15" xfId="0" applyNumberFormat="1" applyFont="1" applyBorder="1" applyAlignment="1">
      <alignment horizontal="center"/>
    </xf>
    <xf numFmtId="14" fontId="2" fillId="0" borderId="0" xfId="0" applyNumberFormat="1" applyFont="1"/>
    <xf numFmtId="37" fontId="2" fillId="0" borderId="8" xfId="0" applyNumberFormat="1" applyFont="1" applyBorder="1" applyAlignment="1">
      <alignment horizontal="center"/>
    </xf>
    <xf numFmtId="0" fontId="9" fillId="0" borderId="3" xfId="0" applyFont="1" applyBorder="1"/>
    <xf numFmtId="0" fontId="9" fillId="0" borderId="22" xfId="0" applyFont="1" applyBorder="1"/>
    <xf numFmtId="0" fontId="9" fillId="0" borderId="4" xfId="0" applyFont="1" applyBorder="1"/>
    <xf numFmtId="0" fontId="9" fillId="0" borderId="12" xfId="0" applyFont="1" applyBorder="1"/>
    <xf numFmtId="0" fontId="9" fillId="0" borderId="13" xfId="0" applyFont="1" applyBorder="1"/>
    <xf numFmtId="3" fontId="9" fillId="0" borderId="13" xfId="0" applyNumberFormat="1" applyFont="1" applyBorder="1"/>
    <xf numFmtId="37" fontId="9" fillId="0" borderId="13" xfId="0" applyNumberFormat="1" applyFont="1" applyBorder="1"/>
    <xf numFmtId="0" fontId="9" fillId="0" borderId="5" xfId="0" applyFont="1" applyBorder="1"/>
    <xf numFmtId="0" fontId="9" fillId="0" borderId="23" xfId="0" applyFont="1" applyBorder="1"/>
    <xf numFmtId="37" fontId="9" fillId="0" borderId="6" xfId="0" applyNumberFormat="1" applyFont="1" applyBorder="1"/>
    <xf numFmtId="0" fontId="1" fillId="0" borderId="0" xfId="0" applyFont="1" applyAlignment="1">
      <alignment horizontal="center" readingOrder="2"/>
    </xf>
    <xf numFmtId="0" fontId="1" fillId="0" borderId="13" xfId="0" applyFont="1" applyBorder="1" applyAlignment="1">
      <alignment horizontal="center" readingOrder="2"/>
    </xf>
    <xf numFmtId="14" fontId="1" fillId="0" borderId="25" xfId="0" applyNumberFormat="1" applyFont="1" applyBorder="1" applyAlignment="1">
      <alignment horizontal="center"/>
    </xf>
    <xf numFmtId="0" fontId="2" fillId="19" borderId="3" xfId="0" applyFont="1" applyFill="1" applyBorder="1"/>
    <xf numFmtId="0" fontId="2" fillId="19" borderId="22" xfId="0" applyFont="1" applyFill="1" applyBorder="1"/>
    <xf numFmtId="37" fontId="1" fillId="3" borderId="0" xfId="0" applyNumberFormat="1" applyFont="1" applyFill="1"/>
    <xf numFmtId="3" fontId="1" fillId="22" borderId="0" xfId="0" applyNumberFormat="1" applyFont="1" applyFill="1"/>
    <xf numFmtId="37" fontId="1" fillId="27" borderId="0" xfId="0" applyNumberFormat="1" applyFont="1" applyFill="1"/>
    <xf numFmtId="37" fontId="1" fillId="22" borderId="0" xfId="0" applyNumberFormat="1" applyFont="1" applyFill="1"/>
    <xf numFmtId="37" fontId="1" fillId="2" borderId="23" xfId="0" applyNumberFormat="1" applyFont="1" applyFill="1" applyBorder="1"/>
    <xf numFmtId="0" fontId="2" fillId="11" borderId="3" xfId="0" applyFont="1" applyFill="1" applyBorder="1"/>
    <xf numFmtId="37" fontId="1" fillId="11" borderId="0" xfId="0" applyNumberFormat="1" applyFont="1" applyFill="1"/>
    <xf numFmtId="37" fontId="1" fillId="5" borderId="0" xfId="0" applyNumberFormat="1" applyFont="1" applyFill="1"/>
    <xf numFmtId="3" fontId="1" fillId="5" borderId="0" xfId="0" applyNumberFormat="1" applyFont="1" applyFill="1"/>
    <xf numFmtId="0" fontId="27" fillId="24" borderId="0" xfId="0" applyFont="1" applyFill="1"/>
    <xf numFmtId="3" fontId="2" fillId="0" borderId="19" xfId="0" applyNumberFormat="1" applyFont="1" applyBorder="1" applyAlignment="1">
      <alignment horizontal="center"/>
    </xf>
    <xf numFmtId="14" fontId="2" fillId="0" borderId="27" xfId="0" applyNumberFormat="1" applyFont="1" applyBorder="1" applyAlignment="1">
      <alignment horizontal="center"/>
    </xf>
    <xf numFmtId="14" fontId="2" fillId="0" borderId="28" xfId="0" applyNumberFormat="1" applyFont="1" applyBorder="1" applyAlignment="1">
      <alignment horizontal="center"/>
    </xf>
    <xf numFmtId="37" fontId="1" fillId="0" borderId="55" xfId="0" applyNumberFormat="1" applyFont="1" applyBorder="1" applyAlignment="1">
      <alignment horizontal="center"/>
    </xf>
    <xf numFmtId="0" fontId="1" fillId="0" borderId="46" xfId="0" applyFont="1" applyBorder="1"/>
    <xf numFmtId="0" fontId="2" fillId="0" borderId="56" xfId="0" applyFont="1" applyBorder="1" applyAlignment="1">
      <alignment horizontal="center"/>
    </xf>
    <xf numFmtId="0" fontId="1" fillId="0" borderId="50" xfId="0" applyFont="1" applyBorder="1" applyAlignment="1">
      <alignment horizontal="center"/>
    </xf>
    <xf numFmtId="0" fontId="2" fillId="0" borderId="49" xfId="0" applyFont="1" applyBorder="1"/>
    <xf numFmtId="0" fontId="2" fillId="0" borderId="57" xfId="0" applyFont="1" applyBorder="1" applyAlignment="1">
      <alignment horizontal="center"/>
    </xf>
    <xf numFmtId="0" fontId="1" fillId="0" borderId="50" xfId="0" applyFont="1" applyBorder="1"/>
    <xf numFmtId="0" fontId="1" fillId="0" borderId="58" xfId="0" applyFont="1" applyBorder="1"/>
    <xf numFmtId="37" fontId="1" fillId="0" borderId="52" xfId="0" applyNumberFormat="1" applyFont="1" applyBorder="1" applyAlignment="1">
      <alignment horizontal="center"/>
    </xf>
    <xf numFmtId="37" fontId="1" fillId="0" borderId="59" xfId="0" applyNumberFormat="1" applyFont="1" applyBorder="1" applyAlignment="1">
      <alignment horizontal="center"/>
    </xf>
    <xf numFmtId="0" fontId="1" fillId="0" borderId="53" xfId="0" applyFont="1" applyBorder="1"/>
    <xf numFmtId="37" fontId="2" fillId="0" borderId="19" xfId="0" applyNumberFormat="1" applyFont="1" applyBorder="1"/>
    <xf numFmtId="37" fontId="2" fillId="0" borderId="21" xfId="0" applyNumberFormat="1" applyFont="1" applyBorder="1"/>
    <xf numFmtId="37" fontId="2" fillId="0" borderId="20" xfId="0" applyNumberFormat="1" applyFont="1" applyBorder="1"/>
    <xf numFmtId="37" fontId="15" fillId="0" borderId="0" xfId="0" applyNumberFormat="1" applyFont="1" applyAlignment="1">
      <alignment horizontal="center"/>
    </xf>
    <xf numFmtId="3" fontId="8" fillId="0" borderId="12" xfId="0" applyNumberFormat="1" applyFont="1" applyBorder="1"/>
    <xf numFmtId="0" fontId="57" fillId="0" borderId="22" xfId="0" applyFont="1" applyBorder="1"/>
    <xf numFmtId="0" fontId="57" fillId="0" borderId="4" xfId="0" applyFont="1" applyBorder="1"/>
    <xf numFmtId="0" fontId="59" fillId="0" borderId="22" xfId="0" applyFont="1" applyBorder="1"/>
    <xf numFmtId="0" fontId="7" fillId="2" borderId="5" xfId="0" applyFont="1" applyFill="1" applyBorder="1"/>
    <xf numFmtId="0" fontId="6" fillId="2" borderId="23" xfId="0" applyFont="1" applyFill="1" applyBorder="1"/>
    <xf numFmtId="0" fontId="3" fillId="0" borderId="22" xfId="0" applyFont="1" applyBorder="1"/>
    <xf numFmtId="0" fontId="3" fillId="0" borderId="4" xfId="0" applyFont="1" applyBorder="1"/>
    <xf numFmtId="0" fontId="3" fillId="0" borderId="13" xfId="0" applyFont="1" applyBorder="1"/>
    <xf numFmtId="0" fontId="3" fillId="0" borderId="23" xfId="0" applyFont="1" applyBorder="1"/>
    <xf numFmtId="0" fontId="3" fillId="0" borderId="6" xfId="0" applyFont="1" applyBorder="1"/>
    <xf numFmtId="0" fontId="60" fillId="0" borderId="3" xfId="0" applyFont="1" applyBorder="1"/>
    <xf numFmtId="0" fontId="60" fillId="0" borderId="12" xfId="0" applyFont="1" applyBorder="1"/>
    <xf numFmtId="0" fontId="60" fillId="0" borderId="5" xfId="0" applyFont="1" applyBorder="1"/>
    <xf numFmtId="0" fontId="8" fillId="0" borderId="0" xfId="0" applyFont="1" applyAlignment="1">
      <alignment horizontal="center"/>
    </xf>
    <xf numFmtId="0" fontId="57" fillId="0" borderId="0" xfId="0" applyFont="1" applyAlignment="1">
      <alignment horizontal="center" readingOrder="2"/>
    </xf>
    <xf numFmtId="0" fontId="57" fillId="0" borderId="13" xfId="0" applyFont="1" applyBorder="1" applyAlignment="1">
      <alignment horizontal="center" readingOrder="2"/>
    </xf>
    <xf numFmtId="0" fontId="26" fillId="0" borderId="0" xfId="0" applyFont="1" applyAlignment="1">
      <alignment horizontal="center"/>
    </xf>
    <xf numFmtId="0" fontId="1" fillId="2" borderId="3" xfId="0" applyFont="1" applyFill="1" applyBorder="1" applyAlignment="1">
      <alignment horizontal="center"/>
    </xf>
    <xf numFmtId="0" fontId="1" fillId="2" borderId="22" xfId="0" applyFont="1" applyFill="1" applyBorder="1" applyAlignment="1">
      <alignment horizontal="center"/>
    </xf>
    <xf numFmtId="0" fontId="1" fillId="2" borderId="4" xfId="0" applyFont="1" applyFill="1" applyBorder="1" applyAlignment="1">
      <alignment horizontal="center"/>
    </xf>
    <xf numFmtId="0" fontId="1" fillId="2" borderId="23" xfId="0" applyFont="1" applyFill="1" applyBorder="1" applyAlignment="1">
      <alignment horizontal="center"/>
    </xf>
    <xf numFmtId="0" fontId="1" fillId="2" borderId="6" xfId="0" applyFont="1" applyFill="1" applyBorder="1" applyAlignment="1">
      <alignment horizontal="center"/>
    </xf>
    <xf numFmtId="0" fontId="2" fillId="2" borderId="0" xfId="0" applyFont="1" applyFill="1" applyAlignment="1">
      <alignment horizontal="center"/>
    </xf>
    <xf numFmtId="0" fontId="2" fillId="23" borderId="3" xfId="0" applyFont="1" applyFill="1" applyBorder="1" applyAlignment="1">
      <alignment horizontal="center" vertical="center"/>
    </xf>
    <xf numFmtId="0" fontId="2" fillId="23" borderId="12" xfId="0" applyFont="1" applyFill="1" applyBorder="1" applyAlignment="1">
      <alignment horizontal="center" vertical="center"/>
    </xf>
    <xf numFmtId="0" fontId="2" fillId="23" borderId="5" xfId="0" applyFont="1" applyFill="1" applyBorder="1" applyAlignment="1">
      <alignment horizontal="center" vertical="center"/>
    </xf>
    <xf numFmtId="0" fontId="2" fillId="23" borderId="24" xfId="0" applyFont="1" applyFill="1" applyBorder="1" applyAlignment="1">
      <alignment horizontal="center" vertical="center"/>
    </xf>
    <xf numFmtId="0" fontId="2" fillId="23" borderId="18" xfId="0" applyFont="1" applyFill="1" applyBorder="1" applyAlignment="1">
      <alignment horizontal="center" vertical="center"/>
    </xf>
    <xf numFmtId="0" fontId="1" fillId="11" borderId="19" xfId="0" applyFont="1" applyFill="1" applyBorder="1" applyAlignment="1">
      <alignment horizontal="center"/>
    </xf>
    <xf numFmtId="0" fontId="1" fillId="11" borderId="21" xfId="0" applyFont="1" applyFill="1" applyBorder="1" applyAlignment="1">
      <alignment horizontal="center"/>
    </xf>
    <xf numFmtId="0" fontId="1" fillId="11" borderId="20" xfId="0" applyFont="1" applyFill="1" applyBorder="1" applyAlignment="1">
      <alignment horizontal="center"/>
    </xf>
    <xf numFmtId="0" fontId="1" fillId="4" borderId="0" xfId="0" applyFont="1" applyFill="1" applyAlignment="1">
      <alignment horizontal="center"/>
    </xf>
    <xf numFmtId="0" fontId="1" fillId="4" borderId="1" xfId="0" applyFont="1" applyFill="1" applyBorder="1" applyAlignment="1">
      <alignment horizontal="center"/>
    </xf>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2" borderId="0" xfId="0" applyFont="1" applyFill="1" applyAlignment="1">
      <alignment horizontal="center" vertical="center" wrapText="1"/>
    </xf>
    <xf numFmtId="0" fontId="1" fillId="4"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7" borderId="0" xfId="0" applyFont="1" applyFill="1" applyAlignment="1">
      <alignment horizontal="center"/>
    </xf>
    <xf numFmtId="0" fontId="1" fillId="0" borderId="0" xfId="0" applyFont="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9" xfId="0" applyFont="1" applyBorder="1" applyAlignment="1">
      <alignment horizontal="right"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lignment horizontal="right" wrapText="1"/>
    </xf>
    <xf numFmtId="0" fontId="1" fillId="0" borderId="0" xfId="0" applyFont="1" applyAlignment="1">
      <alignment horizontal="right"/>
    </xf>
    <xf numFmtId="0" fontId="1" fillId="0" borderId="23" xfId="0" applyFont="1" applyBorder="1" applyAlignment="1">
      <alignment horizontal="center" wrapText="1"/>
    </xf>
    <xf numFmtId="0" fontId="1" fillId="0" borderId="6" xfId="0" applyFont="1" applyBorder="1" applyAlignment="1">
      <alignment horizontal="center"/>
    </xf>
    <xf numFmtId="0" fontId="1" fillId="0" borderId="0" xfId="0" applyFont="1" applyAlignment="1">
      <alignment horizontal="center" wrapText="1"/>
    </xf>
    <xf numFmtId="0" fontId="1" fillId="0" borderId="13" xfId="0" applyFont="1" applyBorder="1" applyAlignment="1">
      <alignment horizontal="center"/>
    </xf>
    <xf numFmtId="0" fontId="1" fillId="0" borderId="9" xfId="0" applyFont="1" applyBorder="1" applyAlignment="1">
      <alignment horizontal="center" wrapText="1"/>
    </xf>
    <xf numFmtId="0" fontId="1" fillId="0" borderId="31" xfId="0" applyFont="1" applyBorder="1" applyAlignment="1">
      <alignment horizontal="center"/>
    </xf>
    <xf numFmtId="0" fontId="1" fillId="0" borderId="26" xfId="0" applyFont="1" applyBorder="1" applyAlignment="1">
      <alignment horizontal="center" wrapText="1"/>
    </xf>
    <xf numFmtId="0" fontId="1" fillId="0" borderId="26" xfId="0" applyFont="1" applyBorder="1" applyAlignment="1">
      <alignment horizontal="center"/>
    </xf>
    <xf numFmtId="0" fontId="1" fillId="0" borderId="9" xfId="0" applyFont="1" applyBorder="1" applyAlignment="1">
      <alignment horizontal="center"/>
    </xf>
    <xf numFmtId="0" fontId="6" fillId="0" borderId="22" xfId="0" applyFont="1" applyBorder="1" applyAlignment="1">
      <alignment horizontal="right" wrapText="1"/>
    </xf>
    <xf numFmtId="0" fontId="4" fillId="16" borderId="0" xfId="0" applyFont="1" applyFill="1" applyAlignment="1">
      <alignment horizontal="center" wrapText="1"/>
    </xf>
    <xf numFmtId="0" fontId="6" fillId="9" borderId="21" xfId="0" applyFont="1" applyFill="1" applyBorder="1" applyAlignment="1">
      <alignment horizontal="right" wrapText="1"/>
    </xf>
    <xf numFmtId="0" fontId="6" fillId="9" borderId="20" xfId="0" applyFont="1" applyFill="1" applyBorder="1" applyAlignment="1">
      <alignment horizontal="right" wrapText="1"/>
    </xf>
    <xf numFmtId="0" fontId="6" fillId="0" borderId="21" xfId="0" applyFont="1" applyBorder="1" applyAlignment="1">
      <alignment horizontal="right" wrapText="1"/>
    </xf>
    <xf numFmtId="0" fontId="50" fillId="16" borderId="22" xfId="0" applyFont="1" applyFill="1" applyBorder="1" applyAlignment="1">
      <alignment horizontal="center" wrapText="1"/>
    </xf>
    <xf numFmtId="0" fontId="50" fillId="16" borderId="22" xfId="0" applyFont="1" applyFill="1" applyBorder="1" applyAlignment="1">
      <alignment horizontal="center"/>
    </xf>
    <xf numFmtId="0" fontId="6" fillId="0" borderId="3" xfId="0" applyFont="1" applyBorder="1" applyAlignment="1">
      <alignment horizontal="center" wrapText="1"/>
    </xf>
    <xf numFmtId="0" fontId="4" fillId="0" borderId="22" xfId="0" applyFont="1" applyBorder="1" applyAlignment="1">
      <alignment horizontal="center" wrapText="1"/>
    </xf>
    <xf numFmtId="0" fontId="4" fillId="0" borderId="4" xfId="0" applyFont="1" applyBorder="1" applyAlignment="1">
      <alignment horizontal="center" wrapText="1"/>
    </xf>
    <xf numFmtId="0" fontId="6" fillId="0" borderId="12" xfId="0" applyFont="1" applyBorder="1" applyAlignment="1">
      <alignment horizontal="center" wrapText="1"/>
    </xf>
    <xf numFmtId="0" fontId="6" fillId="0" borderId="0" xfId="0" applyFont="1" applyAlignment="1">
      <alignment horizontal="center"/>
    </xf>
    <xf numFmtId="0" fontId="6" fillId="0" borderId="13" xfId="0" applyFont="1" applyBorder="1" applyAlignment="1">
      <alignment horizontal="center"/>
    </xf>
    <xf numFmtId="0" fontId="6" fillId="0" borderId="5" xfId="0" applyFont="1" applyBorder="1" applyAlignment="1">
      <alignment horizontal="center" wrapText="1"/>
    </xf>
    <xf numFmtId="0" fontId="6" fillId="0" borderId="23" xfId="0" applyFont="1" applyBorder="1" applyAlignment="1">
      <alignment horizontal="center"/>
    </xf>
    <xf numFmtId="0" fontId="6" fillId="0" borderId="6" xfId="0" applyFont="1" applyBorder="1" applyAlignment="1">
      <alignment horizontal="center"/>
    </xf>
    <xf numFmtId="0" fontId="4" fillId="0" borderId="0" xfId="0" applyFont="1" applyAlignment="1">
      <alignment horizontal="center"/>
    </xf>
    <xf numFmtId="0" fontId="4" fillId="0" borderId="13" xfId="0" applyFont="1" applyBorder="1" applyAlignment="1">
      <alignment horizontal="center"/>
    </xf>
    <xf numFmtId="0" fontId="6" fillId="0" borderId="0" xfId="0" applyFont="1" applyAlignment="1">
      <alignment horizontal="center" wrapText="1"/>
    </xf>
    <xf numFmtId="0" fontId="6" fillId="9" borderId="9" xfId="0" applyFont="1" applyFill="1" applyBorder="1" applyAlignment="1">
      <alignment horizontal="right" wrapText="1"/>
    </xf>
    <xf numFmtId="0" fontId="6" fillId="9" borderId="0" xfId="0" applyFont="1" applyFill="1" applyAlignment="1">
      <alignment horizontal="center" wrapText="1"/>
    </xf>
    <xf numFmtId="0" fontId="6" fillId="9" borderId="0" xfId="0" applyFont="1" applyFill="1" applyAlignment="1">
      <alignment horizontal="center"/>
    </xf>
    <xf numFmtId="164" fontId="1" fillId="3" borderId="0" xfId="2" applyNumberFormat="1" applyFont="1" applyFill="1" applyAlignment="1">
      <alignment horizontal="center"/>
    </xf>
    <xf numFmtId="0" fontId="6" fillId="0" borderId="9" xfId="0" applyFont="1" applyBorder="1" applyAlignment="1">
      <alignment horizontal="right" wrapText="1"/>
    </xf>
    <xf numFmtId="0" fontId="31" fillId="0" borderId="0" xfId="0" applyFont="1" applyAlignment="1">
      <alignment horizontal="right" wrapText="1"/>
    </xf>
    <xf numFmtId="0" fontId="6" fillId="0" borderId="9" xfId="0" applyFont="1" applyBorder="1" applyAlignment="1">
      <alignment horizontal="center" wrapText="1"/>
    </xf>
    <xf numFmtId="0" fontId="6" fillId="0" borderId="9" xfId="0" applyFont="1" applyBorder="1" applyAlignment="1">
      <alignment horizontal="center"/>
    </xf>
    <xf numFmtId="0" fontId="33" fillId="0" borderId="9" xfId="0" applyFont="1" applyBorder="1" applyAlignment="1">
      <alignment horizontal="center" wrapText="1"/>
    </xf>
    <xf numFmtId="0" fontId="33" fillId="0" borderId="9" xfId="0" applyFont="1" applyBorder="1" applyAlignment="1">
      <alignment horizontal="center"/>
    </xf>
    <xf numFmtId="0" fontId="33" fillId="0" borderId="0" xfId="0" applyFont="1" applyAlignment="1">
      <alignment horizontal="center" wrapText="1"/>
    </xf>
    <xf numFmtId="0" fontId="33" fillId="0" borderId="0" xfId="0" applyFont="1" applyAlignment="1">
      <alignment horizontal="center"/>
    </xf>
    <xf numFmtId="0" fontId="33" fillId="0" borderId="9" xfId="0" applyFont="1" applyBorder="1" applyAlignment="1">
      <alignment horizontal="right" wrapText="1"/>
    </xf>
    <xf numFmtId="0" fontId="2" fillId="2" borderId="0" xfId="0" applyFont="1" applyFill="1" applyAlignment="1">
      <alignment horizontal="center" wrapText="1"/>
    </xf>
    <xf numFmtId="0" fontId="7" fillId="0" borderId="19" xfId="0" applyFont="1" applyBorder="1" applyAlignment="1">
      <alignment horizontal="center"/>
    </xf>
    <xf numFmtId="0" fontId="7" fillId="0" borderId="20"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9" fontId="1" fillId="0" borderId="5" xfId="0" applyNumberFormat="1" applyFont="1" applyBorder="1" applyAlignment="1">
      <alignment horizontal="center"/>
    </xf>
    <xf numFmtId="9" fontId="1" fillId="0" borderId="6" xfId="0" applyNumberFormat="1" applyFont="1" applyBorder="1" applyAlignment="1">
      <alignment horizontal="center"/>
    </xf>
    <xf numFmtId="9" fontId="1" fillId="0" borderId="12" xfId="0" applyNumberFormat="1" applyFont="1" applyBorder="1" applyAlignment="1">
      <alignment horizontal="center"/>
    </xf>
    <xf numFmtId="9" fontId="1" fillId="0" borderId="13" xfId="0" applyNumberFormat="1" applyFont="1" applyBorder="1" applyAlignment="1">
      <alignment horizontal="center"/>
    </xf>
    <xf numFmtId="3" fontId="1" fillId="0" borderId="0" xfId="0" applyNumberFormat="1" applyFont="1" applyAlignment="1">
      <alignment horizontal="center" vertical="center"/>
    </xf>
    <xf numFmtId="0" fontId="2" fillId="0" borderId="0" xfId="0" applyFont="1" applyAlignment="1">
      <alignment horizontal="center"/>
    </xf>
    <xf numFmtId="0" fontId="1" fillId="0" borderId="9" xfId="0" applyFont="1" applyBorder="1" applyAlignment="1">
      <alignment horizontal="right"/>
    </xf>
    <xf numFmtId="37" fontId="1" fillId="2" borderId="0" xfId="0" applyNumberFormat="1" applyFont="1" applyFill="1" applyAlignment="1">
      <alignment horizontal="center" vertical="center"/>
    </xf>
    <xf numFmtId="0" fontId="6" fillId="0" borderId="12" xfId="0" applyFont="1" applyBorder="1" applyAlignment="1">
      <alignment horizontal="right" vertical="center"/>
    </xf>
    <xf numFmtId="0" fontId="6" fillId="0" borderId="0" xfId="0" applyFont="1" applyAlignment="1">
      <alignment horizontal="right" vertical="center"/>
    </xf>
    <xf numFmtId="0" fontId="6" fillId="0" borderId="12" xfId="0" applyFont="1" applyBorder="1" applyAlignment="1">
      <alignment horizontal="center" vertical="center"/>
    </xf>
    <xf numFmtId="0" fontId="6" fillId="0" borderId="0" xfId="0" applyFont="1" applyAlignment="1">
      <alignment horizontal="center" vertical="center"/>
    </xf>
    <xf numFmtId="0" fontId="1" fillId="0" borderId="1" xfId="0" applyFont="1" applyBorder="1" applyAlignment="1">
      <alignment horizontal="center"/>
    </xf>
    <xf numFmtId="0" fontId="27" fillId="0" borderId="19" xfId="0" applyFont="1" applyBorder="1" applyAlignment="1">
      <alignment horizontal="center"/>
    </xf>
    <xf numFmtId="0" fontId="27" fillId="0" borderId="21" xfId="0" applyFont="1" applyBorder="1" applyAlignment="1">
      <alignment horizontal="center"/>
    </xf>
    <xf numFmtId="0" fontId="27" fillId="0" borderId="20" xfId="0" applyFont="1" applyBorder="1" applyAlignment="1">
      <alignment horizontal="center"/>
    </xf>
    <xf numFmtId="0" fontId="27" fillId="0" borderId="0" xfId="0" applyFont="1" applyAlignment="1">
      <alignment horizontal="center"/>
    </xf>
    <xf numFmtId="0" fontId="8" fillId="0" borderId="0" xfId="0" applyFont="1" applyAlignment="1">
      <alignment horizontal="right" wrapText="1"/>
    </xf>
    <xf numFmtId="0" fontId="2" fillId="0" borderId="47" xfId="0" applyFont="1" applyBorder="1" applyAlignment="1">
      <alignment horizontal="center"/>
    </xf>
    <xf numFmtId="0" fontId="2" fillId="0" borderId="48" xfId="0" applyFont="1" applyBorder="1" applyAlignment="1">
      <alignment horizontal="center"/>
    </xf>
    <xf numFmtId="0" fontId="1" fillId="2" borderId="19" xfId="0" applyFont="1" applyFill="1" applyBorder="1" applyAlignment="1">
      <alignment horizontal="center"/>
    </xf>
    <xf numFmtId="0" fontId="1" fillId="2" borderId="21" xfId="0" applyFont="1" applyFill="1" applyBorder="1" applyAlignment="1">
      <alignment horizontal="center"/>
    </xf>
    <xf numFmtId="0" fontId="1" fillId="2" borderId="20" xfId="0" applyFont="1" applyFill="1" applyBorder="1" applyAlignment="1">
      <alignment horizontal="center"/>
    </xf>
    <xf numFmtId="0" fontId="1" fillId="5" borderId="19" xfId="0" applyFont="1" applyFill="1" applyBorder="1" applyAlignment="1">
      <alignment horizontal="center"/>
    </xf>
    <xf numFmtId="0" fontId="1" fillId="5" borderId="21" xfId="0" applyFont="1" applyFill="1" applyBorder="1" applyAlignment="1">
      <alignment horizontal="center"/>
    </xf>
    <xf numFmtId="0" fontId="1" fillId="5" borderId="20" xfId="0" applyFont="1" applyFill="1" applyBorder="1" applyAlignment="1">
      <alignment horizontal="center"/>
    </xf>
    <xf numFmtId="0" fontId="24" fillId="0" borderId="0" xfId="0" applyFont="1" applyAlignment="1">
      <alignment horizontal="right" vertical="center" wrapText="1" readingOrder="2"/>
    </xf>
    <xf numFmtId="0" fontId="2" fillId="2" borderId="0" xfId="0" applyFont="1" applyFill="1" applyAlignment="1">
      <alignment horizontal="right"/>
    </xf>
    <xf numFmtId="0" fontId="41" fillId="0" borderId="9" xfId="0" applyFont="1" applyBorder="1" applyAlignment="1">
      <alignment horizontal="center" wrapText="1"/>
    </xf>
    <xf numFmtId="0" fontId="49" fillId="0" borderId="9" xfId="0" applyFont="1" applyBorder="1" applyAlignment="1">
      <alignment horizontal="center" wrapText="1" readingOrder="2"/>
    </xf>
    <xf numFmtId="0" fontId="2" fillId="0" borderId="0" xfId="0" applyFont="1" applyBorder="1"/>
    <xf numFmtId="0" fontId="1" fillId="0" borderId="0" xfId="0" applyFont="1" applyBorder="1"/>
    <xf numFmtId="0" fontId="1" fillId="0" borderId="0" xfId="0" applyFont="1" applyBorder="1" applyAlignment="1">
      <alignment horizontal="center"/>
    </xf>
    <xf numFmtId="0" fontId="8" fillId="0" borderId="12" xfId="0" applyFont="1" applyBorder="1"/>
    <xf numFmtId="0" fontId="57" fillId="0" borderId="0" xfId="0" applyFont="1"/>
    <xf numFmtId="0" fontId="1" fillId="5" borderId="2" xfId="0" applyFont="1" applyFill="1" applyBorder="1" applyAlignment="1">
      <alignment horizontal="center"/>
    </xf>
  </cellXfs>
  <cellStyles count="4">
    <cellStyle name="Comma" xfId="2" builtinId="3"/>
    <cellStyle name="Hyperlink" xfId="1" builtinId="8"/>
    <cellStyle name="Normal" xfId="0" builtinId="0"/>
    <cellStyle name="Percent" xfId="3" builtinId="5"/>
  </cellStyles>
  <dxfs count="0"/>
  <tableStyles count="0" defaultTableStyle="TableStyleMedium2" defaultPivotStyle="PivotStyleLight16"/>
  <colors>
    <mruColors>
      <color rgb="FF73FEFF"/>
      <color rgb="FFFFA1F0"/>
      <color rgb="FF942092"/>
      <color rgb="FFFF8A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5" Type="http://schemas.openxmlformats.org/officeDocument/2006/relationships/image" Target="../media/image9.jpe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5" Type="http://schemas.openxmlformats.org/officeDocument/2006/relationships/image" Target="../media/image16.png"/><Relationship Id="rId4" Type="http://schemas.openxmlformats.org/officeDocument/2006/relationships/image" Target="../media/image15.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jpeg"/><Relationship Id="rId1" Type="http://schemas.openxmlformats.org/officeDocument/2006/relationships/image" Target="../media/image17.png"/><Relationship Id="rId6" Type="http://schemas.openxmlformats.org/officeDocument/2006/relationships/image" Target="../media/image22.png"/><Relationship Id="rId5" Type="http://schemas.openxmlformats.org/officeDocument/2006/relationships/image" Target="../media/image21.png"/><Relationship Id="rId4" Type="http://schemas.openxmlformats.org/officeDocument/2006/relationships/image" Target="../media/image20.png"/></Relationships>
</file>

<file path=xl/drawings/_rels/drawing6.xml.rels><?xml version="1.0" encoding="UTF-8" standalone="yes"?>
<Relationships xmlns="http://schemas.openxmlformats.org/package/2006/relationships"><Relationship Id="rId1" Type="http://schemas.openxmlformats.org/officeDocument/2006/relationships/image" Target="../media/image23.png"/></Relationships>
</file>

<file path=xl/drawings/_rels/drawing7.xml.rels><?xml version="1.0" encoding="UTF-8" standalone="yes"?>
<Relationships xmlns="http://schemas.openxmlformats.org/package/2006/relationships"><Relationship Id="rId1" Type="http://schemas.openxmlformats.org/officeDocument/2006/relationships/image" Target="../media/image24.png"/></Relationships>
</file>

<file path=xl/drawings/_rels/drawing8.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_rels/drawing10.xml.rels><?xml version="1.0" encoding="UTF-8" standalone="yes"?>
<Relationships xmlns="http://schemas.openxmlformats.org/package/2006/relationships"><Relationship Id="rId8" Type="http://schemas.openxmlformats.org/officeDocument/2006/relationships/image" Target="../media/image34.png"/><Relationship Id="rId13" Type="http://schemas.openxmlformats.org/officeDocument/2006/relationships/image" Target="../media/image39.png"/><Relationship Id="rId18" Type="http://schemas.openxmlformats.org/officeDocument/2006/relationships/image" Target="../media/image44.png"/><Relationship Id="rId3" Type="http://schemas.openxmlformats.org/officeDocument/2006/relationships/image" Target="../media/image29.png"/><Relationship Id="rId21" Type="http://schemas.openxmlformats.org/officeDocument/2006/relationships/image" Target="../media/image47.png"/><Relationship Id="rId7" Type="http://schemas.openxmlformats.org/officeDocument/2006/relationships/image" Target="../media/image33.png"/><Relationship Id="rId12" Type="http://schemas.openxmlformats.org/officeDocument/2006/relationships/image" Target="../media/image38.png"/><Relationship Id="rId17" Type="http://schemas.openxmlformats.org/officeDocument/2006/relationships/image" Target="../media/image43.png"/><Relationship Id="rId2" Type="http://schemas.openxmlformats.org/officeDocument/2006/relationships/image" Target="../media/image28.jpeg"/><Relationship Id="rId16" Type="http://schemas.openxmlformats.org/officeDocument/2006/relationships/image" Target="../media/image42.png"/><Relationship Id="rId20" Type="http://schemas.openxmlformats.org/officeDocument/2006/relationships/image" Target="../media/image46.png"/><Relationship Id="rId1" Type="http://schemas.openxmlformats.org/officeDocument/2006/relationships/image" Target="../media/image27.jpeg"/><Relationship Id="rId6" Type="http://schemas.openxmlformats.org/officeDocument/2006/relationships/image" Target="../media/image32.png"/><Relationship Id="rId11" Type="http://schemas.openxmlformats.org/officeDocument/2006/relationships/image" Target="../media/image37.png"/><Relationship Id="rId5" Type="http://schemas.openxmlformats.org/officeDocument/2006/relationships/image" Target="../media/image31.png"/><Relationship Id="rId15" Type="http://schemas.openxmlformats.org/officeDocument/2006/relationships/image" Target="../media/image41.png"/><Relationship Id="rId10" Type="http://schemas.openxmlformats.org/officeDocument/2006/relationships/image" Target="../media/image36.jpeg"/><Relationship Id="rId19" Type="http://schemas.openxmlformats.org/officeDocument/2006/relationships/image" Target="../media/image45.png"/><Relationship Id="rId4" Type="http://schemas.openxmlformats.org/officeDocument/2006/relationships/image" Target="../media/image30.png"/><Relationship Id="rId9" Type="http://schemas.openxmlformats.org/officeDocument/2006/relationships/image" Target="../media/image35.jpeg"/><Relationship Id="rId14" Type="http://schemas.openxmlformats.org/officeDocument/2006/relationships/image" Target="../media/image40.png"/><Relationship Id="rId22" Type="http://schemas.openxmlformats.org/officeDocument/2006/relationships/image" Target="../media/image48.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1.png"/><Relationship Id="rId2" Type="http://schemas.openxmlformats.org/officeDocument/2006/relationships/image" Target="../media/image50.png"/><Relationship Id="rId1" Type="http://schemas.openxmlformats.org/officeDocument/2006/relationships/image" Target="../media/image49.png"/><Relationship Id="rId4" Type="http://schemas.openxmlformats.org/officeDocument/2006/relationships/image" Target="../media/image5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60.png"/><Relationship Id="rId3" Type="http://schemas.openxmlformats.org/officeDocument/2006/relationships/image" Target="../media/image55.png"/><Relationship Id="rId7" Type="http://schemas.openxmlformats.org/officeDocument/2006/relationships/image" Target="../media/image59.png"/><Relationship Id="rId2" Type="http://schemas.openxmlformats.org/officeDocument/2006/relationships/image" Target="../media/image54.png"/><Relationship Id="rId1" Type="http://schemas.openxmlformats.org/officeDocument/2006/relationships/image" Target="../media/image53.png"/><Relationship Id="rId6" Type="http://schemas.openxmlformats.org/officeDocument/2006/relationships/image" Target="../media/image58.png"/><Relationship Id="rId5" Type="http://schemas.openxmlformats.org/officeDocument/2006/relationships/image" Target="../media/image57.png"/><Relationship Id="rId4" Type="http://schemas.openxmlformats.org/officeDocument/2006/relationships/image" Target="../media/image56.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3.png"/><Relationship Id="rId2" Type="http://schemas.openxmlformats.org/officeDocument/2006/relationships/image" Target="../media/image62.png"/><Relationship Id="rId1" Type="http://schemas.openxmlformats.org/officeDocument/2006/relationships/image" Target="../media/image61.png"/><Relationship Id="rId6" Type="http://schemas.openxmlformats.org/officeDocument/2006/relationships/image" Target="../media/image66.png"/><Relationship Id="rId5" Type="http://schemas.openxmlformats.org/officeDocument/2006/relationships/image" Target="../media/image65.png"/><Relationship Id="rId4" Type="http://schemas.openxmlformats.org/officeDocument/2006/relationships/image" Target="../media/image64.png"/></Relationships>
</file>

<file path=xl/drawings/_rels/drawing14.xml.rels><?xml version="1.0" encoding="UTF-8" standalone="yes"?>
<Relationships xmlns="http://schemas.openxmlformats.org/package/2006/relationships"><Relationship Id="rId8" Type="http://schemas.openxmlformats.org/officeDocument/2006/relationships/image" Target="../media/image74.png"/><Relationship Id="rId3" Type="http://schemas.openxmlformats.org/officeDocument/2006/relationships/image" Target="../media/image69.png"/><Relationship Id="rId7" Type="http://schemas.openxmlformats.org/officeDocument/2006/relationships/image" Target="../media/image73.png"/><Relationship Id="rId2" Type="http://schemas.openxmlformats.org/officeDocument/2006/relationships/image" Target="../media/image68.png"/><Relationship Id="rId1" Type="http://schemas.openxmlformats.org/officeDocument/2006/relationships/image" Target="../media/image67.png"/><Relationship Id="rId6" Type="http://schemas.openxmlformats.org/officeDocument/2006/relationships/image" Target="../media/image72.png"/><Relationship Id="rId11" Type="http://schemas.openxmlformats.org/officeDocument/2006/relationships/image" Target="../media/image77.png"/><Relationship Id="rId5" Type="http://schemas.openxmlformats.org/officeDocument/2006/relationships/image" Target="../media/image71.png"/><Relationship Id="rId10" Type="http://schemas.openxmlformats.org/officeDocument/2006/relationships/image" Target="../media/image76.png"/><Relationship Id="rId4" Type="http://schemas.openxmlformats.org/officeDocument/2006/relationships/image" Target="../media/image70.png"/><Relationship Id="rId9" Type="http://schemas.openxmlformats.org/officeDocument/2006/relationships/image" Target="../media/image75.png"/></Relationships>
</file>

<file path=xl/drawings/_rels/drawing15.xml.rels><?xml version="1.0" encoding="UTF-8" standalone="yes"?>
<Relationships xmlns="http://schemas.openxmlformats.org/package/2006/relationships"><Relationship Id="rId3" Type="http://schemas.openxmlformats.org/officeDocument/2006/relationships/image" Target="../media/image80.png"/><Relationship Id="rId2" Type="http://schemas.openxmlformats.org/officeDocument/2006/relationships/image" Target="../media/image79.png"/><Relationship Id="rId1" Type="http://schemas.openxmlformats.org/officeDocument/2006/relationships/image" Target="../media/image78.png"/><Relationship Id="rId6" Type="http://schemas.openxmlformats.org/officeDocument/2006/relationships/image" Target="../media/image83.png"/><Relationship Id="rId5" Type="http://schemas.openxmlformats.org/officeDocument/2006/relationships/image" Target="../media/image82.png"/><Relationship Id="rId4" Type="http://schemas.openxmlformats.org/officeDocument/2006/relationships/image" Target="../media/image8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85.png"/><Relationship Id="rId1" Type="http://schemas.openxmlformats.org/officeDocument/2006/relationships/image" Target="../media/image84.png"/></Relationships>
</file>

<file path=xl/drawings/_rels/drawing17.xml.rels><?xml version="1.0" encoding="UTF-8" standalone="yes"?>
<Relationships xmlns="http://schemas.openxmlformats.org/package/2006/relationships"><Relationship Id="rId3" Type="http://schemas.openxmlformats.org/officeDocument/2006/relationships/image" Target="../media/image88.png"/><Relationship Id="rId2" Type="http://schemas.openxmlformats.org/officeDocument/2006/relationships/image" Target="../media/image87.png"/><Relationship Id="rId1" Type="http://schemas.openxmlformats.org/officeDocument/2006/relationships/image" Target="../media/image86.png"/><Relationship Id="rId4" Type="http://schemas.openxmlformats.org/officeDocument/2006/relationships/image" Target="../media/image89.png"/></Relationships>
</file>

<file path=xl/drawings/_rels/drawing18.xml.rels><?xml version="1.0" encoding="UTF-8" standalone="yes"?>
<Relationships xmlns="http://schemas.openxmlformats.org/package/2006/relationships"><Relationship Id="rId2" Type="http://schemas.openxmlformats.org/officeDocument/2006/relationships/image" Target="../media/image91.png"/><Relationship Id="rId1" Type="http://schemas.openxmlformats.org/officeDocument/2006/relationships/image" Target="../media/image90.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94.png"/><Relationship Id="rId2" Type="http://schemas.openxmlformats.org/officeDocument/2006/relationships/image" Target="../media/image93.png"/><Relationship Id="rId1" Type="http://schemas.openxmlformats.org/officeDocument/2006/relationships/image" Target="../media/image92.png"/></Relationships>
</file>

<file path=xl/drawings/drawing1.xml><?xml version="1.0" encoding="utf-8"?>
<xdr:wsDr xmlns:xdr="http://schemas.openxmlformats.org/drawingml/2006/spreadsheetDrawing" xmlns:a="http://schemas.openxmlformats.org/drawingml/2006/main">
  <xdr:twoCellAnchor>
    <xdr:from>
      <xdr:col>5</xdr:col>
      <xdr:colOff>689085</xdr:colOff>
      <xdr:row>7</xdr:row>
      <xdr:rowOff>80127</xdr:rowOff>
    </xdr:from>
    <xdr:to>
      <xdr:col>7</xdr:col>
      <xdr:colOff>751221</xdr:colOff>
      <xdr:row>11</xdr:row>
      <xdr:rowOff>158330</xdr:rowOff>
    </xdr:to>
    <xdr:sp macro="" textlink="">
      <xdr:nvSpPr>
        <xdr:cNvPr id="2" name="Rectangle 1">
          <a:extLst>
            <a:ext uri="{FF2B5EF4-FFF2-40B4-BE49-F238E27FC236}">
              <a16:creationId xmlns:a16="http://schemas.microsoft.com/office/drawing/2014/main" id="{CCFD18A8-E3AE-3CD6-887F-8CF2A352D704}"/>
            </a:ext>
          </a:extLst>
        </xdr:cNvPr>
        <xdr:cNvSpPr/>
      </xdr:nvSpPr>
      <xdr:spPr>
        <a:xfrm>
          <a:off x="13515181713" y="1774796"/>
          <a:ext cx="1712735" cy="89549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latin typeface="David" panose="020E0502060401010101" pitchFamily="34" charset="-79"/>
              <a:cs typeface="David" panose="020E0502060401010101" pitchFamily="34" charset="-79"/>
            </a:rPr>
            <a:t>חברה המעוניינת לגייס כסף (הלוואה / השקעה) צריכה לתת למשקיעים נתונים שיתמכו בכך. </a:t>
          </a:r>
        </a:p>
        <a:p>
          <a:pPr algn="r" rtl="1"/>
          <a:r>
            <a:rPr lang="he-IL" sz="1100">
              <a:latin typeface="David" panose="020E0502060401010101" pitchFamily="34" charset="-79"/>
              <a:cs typeface="David" panose="020E0502060401010101" pitchFamily="34" charset="-79"/>
            </a:rPr>
            <a:t>החשבונאות הפיננסית תסייע</a:t>
          </a:r>
          <a:endParaRPr lang="en-US" sz="1100">
            <a:latin typeface="David" panose="020E0502060401010101" pitchFamily="34" charset="-79"/>
            <a:cs typeface="David" panose="020E0502060401010101" pitchFamily="34" charset="-79"/>
          </a:endParaRPr>
        </a:p>
      </xdr:txBody>
    </xdr:sp>
    <xdr:clientData/>
  </xdr:twoCellAnchor>
  <xdr:twoCellAnchor editAs="oneCell">
    <xdr:from>
      <xdr:col>0</xdr:col>
      <xdr:colOff>37056</xdr:colOff>
      <xdr:row>30</xdr:row>
      <xdr:rowOff>47162</xdr:rowOff>
    </xdr:from>
    <xdr:to>
      <xdr:col>2</xdr:col>
      <xdr:colOff>703232</xdr:colOff>
      <xdr:row>42</xdr:row>
      <xdr:rowOff>52652</xdr:rowOff>
    </xdr:to>
    <xdr:pic>
      <xdr:nvPicPr>
        <xdr:cNvPr id="3" name="Picture 2">
          <a:extLst>
            <a:ext uri="{FF2B5EF4-FFF2-40B4-BE49-F238E27FC236}">
              <a16:creationId xmlns:a16="http://schemas.microsoft.com/office/drawing/2014/main" id="{ED501E6A-85C0-16DE-7B09-71FDF74449FF}"/>
            </a:ext>
          </a:extLst>
        </xdr:cNvPr>
        <xdr:cNvPicPr>
          <a:picLocks noChangeAspect="1"/>
        </xdr:cNvPicPr>
      </xdr:nvPicPr>
      <xdr:blipFill>
        <a:blip xmlns:r="http://schemas.openxmlformats.org/officeDocument/2006/relationships" r:embed="rId1"/>
        <a:stretch>
          <a:fillRect/>
        </a:stretch>
      </xdr:blipFill>
      <xdr:spPr>
        <a:xfrm>
          <a:off x="13519763987" y="4776817"/>
          <a:ext cx="2811981" cy="2430954"/>
        </a:xfrm>
        <a:prstGeom prst="rect">
          <a:avLst/>
        </a:prstGeom>
      </xdr:spPr>
    </xdr:pic>
    <xdr:clientData/>
  </xdr:twoCellAnchor>
  <xdr:twoCellAnchor>
    <xdr:from>
      <xdr:col>3</xdr:col>
      <xdr:colOff>212227</xdr:colOff>
      <xdr:row>39</xdr:row>
      <xdr:rowOff>77480</xdr:rowOff>
    </xdr:from>
    <xdr:to>
      <xdr:col>7</xdr:col>
      <xdr:colOff>643422</xdr:colOff>
      <xdr:row>45</xdr:row>
      <xdr:rowOff>77480</xdr:rowOff>
    </xdr:to>
    <xdr:sp macro="" textlink="">
      <xdr:nvSpPr>
        <xdr:cNvPr id="4" name="Rounded Rectangular Callout 3">
          <a:extLst>
            <a:ext uri="{FF2B5EF4-FFF2-40B4-BE49-F238E27FC236}">
              <a16:creationId xmlns:a16="http://schemas.microsoft.com/office/drawing/2014/main" id="{E1FC055F-BD88-6DE6-04AB-64B879A247C1}"/>
            </a:ext>
          </a:extLst>
        </xdr:cNvPr>
        <xdr:cNvSpPr/>
      </xdr:nvSpPr>
      <xdr:spPr>
        <a:xfrm>
          <a:off x="13515811618" y="6626233"/>
          <a:ext cx="3732521" cy="1212732"/>
        </a:xfrm>
        <a:prstGeom prst="wedgeRoundRectCallout">
          <a:avLst>
            <a:gd name="adj1" fmla="val 57261"/>
            <a:gd name="adj2" fmla="val -16821"/>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נניח שמדובר בעובד בתחום המחקר והפיתוח; כאשר הוא משלים פרויקט לוקח המון זמן עד שהתוצאות</a:t>
          </a:r>
          <a:r>
            <a:rPr lang="he-IL" sz="1100" baseline="0"/>
            <a:t> הופכות לכסף - צריך לייצר, לשווק, למכור...</a:t>
          </a:r>
        </a:p>
        <a:p>
          <a:pPr algn="r" rtl="1"/>
          <a:r>
            <a:rPr lang="he-IL" sz="1100" baseline="0"/>
            <a:t>אך העובד תורם המון לחברה! בביצוע המחקר הייחודי!</a:t>
          </a:r>
        </a:p>
        <a:p>
          <a:pPr algn="r" rtl="1"/>
          <a:r>
            <a:rPr lang="he-IL" sz="1100"/>
            <a:t>מי שחושב שרק הסכום שנכנס כל יום קובע - יחשוב שאין לקדם / לשמר עובד זה</a:t>
          </a:r>
          <a:endParaRPr lang="en-US" sz="1100"/>
        </a:p>
      </xdr:txBody>
    </xdr:sp>
    <xdr:clientData/>
  </xdr:twoCellAnchor>
  <xdr:twoCellAnchor>
    <xdr:from>
      <xdr:col>3</xdr:col>
      <xdr:colOff>218965</xdr:colOff>
      <xdr:row>32</xdr:row>
      <xdr:rowOff>175172</xdr:rowOff>
    </xdr:from>
    <xdr:to>
      <xdr:col>7</xdr:col>
      <xdr:colOff>650160</xdr:colOff>
      <xdr:row>38</xdr:row>
      <xdr:rowOff>175172</xdr:rowOff>
    </xdr:to>
    <xdr:sp macro="" textlink="">
      <xdr:nvSpPr>
        <xdr:cNvPr id="5" name="Rounded Rectangular Callout 4">
          <a:extLst>
            <a:ext uri="{FF2B5EF4-FFF2-40B4-BE49-F238E27FC236}">
              <a16:creationId xmlns:a16="http://schemas.microsoft.com/office/drawing/2014/main" id="{BD9E0A10-F0A1-1958-30FC-FB5CB2C69A1B}"/>
            </a:ext>
          </a:extLst>
        </xdr:cNvPr>
        <xdr:cNvSpPr/>
      </xdr:nvSpPr>
      <xdr:spPr>
        <a:xfrm>
          <a:off x="13515804880" y="5309071"/>
          <a:ext cx="3732521" cy="1212732"/>
        </a:xfrm>
        <a:prstGeom prst="wedgeRoundRectCallout">
          <a:avLst>
            <a:gd name="adj1" fmla="val 56900"/>
            <a:gd name="adj2" fmla="val 35401"/>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זו</a:t>
          </a:r>
          <a:r>
            <a:rPr lang="he-IL" sz="1100" baseline="0"/>
            <a:t> התשובה הנכונה. ומדוע? משום שכשאנחנו מעריכים ביצועים, מה שחשוב הוא להעריך את התרומה הכוללת לחברה, ולאו דווקא את המועד המדויק שבו נקבל כסף. אם עובד הוא תותח על חלל, וצפוי להוביל את החברה לרווחים עצומים בעתיד, חשוב מאד לשמור עליו ולקדם אותו, גם אם הכסף מפעילותו ״טרם נכנס״</a:t>
          </a:r>
          <a:endParaRPr lang="en-US" sz="1100"/>
        </a:p>
      </xdr:txBody>
    </xdr:sp>
    <xdr:clientData/>
  </xdr:twoCellAnchor>
  <xdr:twoCellAnchor editAs="oneCell">
    <xdr:from>
      <xdr:col>9</xdr:col>
      <xdr:colOff>107558</xdr:colOff>
      <xdr:row>15</xdr:row>
      <xdr:rowOff>201426</xdr:rowOff>
    </xdr:from>
    <xdr:to>
      <xdr:col>10</xdr:col>
      <xdr:colOff>761557</xdr:colOff>
      <xdr:row>26</xdr:row>
      <xdr:rowOff>136515</xdr:rowOff>
    </xdr:to>
    <xdr:pic>
      <xdr:nvPicPr>
        <xdr:cNvPr id="6" name="Picture 5" descr="26 No ideas | bones funny, funny, memes">
          <a:extLst>
            <a:ext uri="{FF2B5EF4-FFF2-40B4-BE49-F238E27FC236}">
              <a16:creationId xmlns:a16="http://schemas.microsoft.com/office/drawing/2014/main" id="{CA694C2F-6543-22C2-7B0B-C2D56FD6FD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46456683" y="3523283"/>
          <a:ext cx="1481362" cy="21772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70326</xdr:colOff>
      <xdr:row>48</xdr:row>
      <xdr:rowOff>53055</xdr:rowOff>
    </xdr:from>
    <xdr:to>
      <xdr:col>2</xdr:col>
      <xdr:colOff>720189</xdr:colOff>
      <xdr:row>66</xdr:row>
      <xdr:rowOff>13435</xdr:rowOff>
    </xdr:to>
    <xdr:pic>
      <xdr:nvPicPr>
        <xdr:cNvPr id="7" name="Picture 6">
          <a:extLst>
            <a:ext uri="{FF2B5EF4-FFF2-40B4-BE49-F238E27FC236}">
              <a16:creationId xmlns:a16="http://schemas.microsoft.com/office/drawing/2014/main" id="{78D57993-1023-14EA-0E7D-87178A01A023}"/>
            </a:ext>
          </a:extLst>
        </xdr:cNvPr>
        <xdr:cNvPicPr>
          <a:picLocks noChangeAspect="1"/>
        </xdr:cNvPicPr>
      </xdr:nvPicPr>
      <xdr:blipFill>
        <a:blip xmlns:r="http://schemas.openxmlformats.org/officeDocument/2006/relationships" r:embed="rId3"/>
        <a:stretch>
          <a:fillRect/>
        </a:stretch>
      </xdr:blipFill>
      <xdr:spPr>
        <a:xfrm>
          <a:off x="13553001498" y="9683544"/>
          <a:ext cx="2800619" cy="3609044"/>
        </a:xfrm>
        <a:prstGeom prst="rect">
          <a:avLst/>
        </a:prstGeom>
      </xdr:spPr>
    </xdr:pic>
    <xdr:clientData/>
  </xdr:twoCellAnchor>
  <xdr:twoCellAnchor>
    <xdr:from>
      <xdr:col>3</xdr:col>
      <xdr:colOff>190293</xdr:colOff>
      <xdr:row>49</xdr:row>
      <xdr:rowOff>37231</xdr:rowOff>
    </xdr:from>
    <xdr:to>
      <xdr:col>7</xdr:col>
      <xdr:colOff>103420</xdr:colOff>
      <xdr:row>55</xdr:row>
      <xdr:rowOff>74462</xdr:rowOff>
    </xdr:to>
    <xdr:sp macro="" textlink="">
      <xdr:nvSpPr>
        <xdr:cNvPr id="8" name="Rounded Rectangular Callout 7">
          <a:extLst>
            <a:ext uri="{FF2B5EF4-FFF2-40B4-BE49-F238E27FC236}">
              <a16:creationId xmlns:a16="http://schemas.microsoft.com/office/drawing/2014/main" id="{BB7507B4-1D38-4533-F223-94C4296503E4}"/>
            </a:ext>
          </a:extLst>
        </xdr:cNvPr>
        <xdr:cNvSpPr/>
      </xdr:nvSpPr>
      <xdr:spPr>
        <a:xfrm>
          <a:off x="13549596906" y="9870423"/>
          <a:ext cx="3222573" cy="1253453"/>
        </a:xfrm>
        <a:prstGeom prst="wedgeRoundRectCallout">
          <a:avLst>
            <a:gd name="adj1" fmla="val 59473"/>
            <a:gd name="adj2" fmla="val 4262"/>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התשובה</a:t>
          </a:r>
          <a:r>
            <a:rPr lang="he-IL" sz="1100" baseline="0"/>
            <a:t> הנכונה: 2018. ומדוע? משום שבחשבונאות, מטרת השיקוף של ההכנסות היא להראות את השווי של הפעילות שהחברה ביצעה, ולא את העיתוי המדויק של גביית הכספים</a:t>
          </a:r>
        </a:p>
        <a:p>
          <a:pPr algn="r" rtl="1"/>
          <a:r>
            <a:rPr lang="he-IL" sz="1100" b="1" baseline="0"/>
            <a:t>אם בשנה מסוימת חברה סיפקה שירות שניתן להעריך את שוויו - תוכר הכנסה בגובה זה נקודה.</a:t>
          </a:r>
          <a:endParaRPr lang="en-US" sz="1100" b="1"/>
        </a:p>
      </xdr:txBody>
    </xdr:sp>
    <xdr:clientData/>
  </xdr:twoCellAnchor>
  <xdr:twoCellAnchor>
    <xdr:from>
      <xdr:col>3</xdr:col>
      <xdr:colOff>273029</xdr:colOff>
      <xdr:row>56</xdr:row>
      <xdr:rowOff>186157</xdr:rowOff>
    </xdr:from>
    <xdr:to>
      <xdr:col>7</xdr:col>
      <xdr:colOff>186156</xdr:colOff>
      <xdr:row>63</xdr:row>
      <xdr:rowOff>140652</xdr:rowOff>
    </xdr:to>
    <xdr:sp macro="" textlink="">
      <xdr:nvSpPr>
        <xdr:cNvPr id="9" name="Rounded Rectangular Callout 8">
          <a:extLst>
            <a:ext uri="{FF2B5EF4-FFF2-40B4-BE49-F238E27FC236}">
              <a16:creationId xmlns:a16="http://schemas.microsoft.com/office/drawing/2014/main" id="{3BCF2EFC-2752-30BA-FEB0-37E8171E05B7}"/>
            </a:ext>
          </a:extLst>
        </xdr:cNvPr>
        <xdr:cNvSpPr/>
      </xdr:nvSpPr>
      <xdr:spPr>
        <a:xfrm>
          <a:off x="13549514170" y="11438274"/>
          <a:ext cx="3222573" cy="1373420"/>
        </a:xfrm>
        <a:prstGeom prst="wedgeRoundRectCallout">
          <a:avLst>
            <a:gd name="adj1" fmla="val 59473"/>
            <a:gd name="adj2" fmla="val 4262"/>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התשובה הנכונה: יש לרשום הוצאה ב-2018. מדוע? כי השנה שבמהלכה בוצעה הפעילות (עבודת</a:t>
          </a:r>
          <a:r>
            <a:rPr lang="he-IL" sz="1100" baseline="0"/>
            <a:t> העובד) היא 2018 (דצמבר 2018). לא נוכל לטעון שיש להמנע מהוצאה עד התשלום. </a:t>
          </a:r>
        </a:p>
        <a:p>
          <a:pPr algn="r" rtl="1"/>
          <a:r>
            <a:rPr lang="he-IL" sz="1100" b="1"/>
            <a:t>אם בשנה מסוימת חברה צרכה שירות (כגון שירותי עבודה) שניתן להעריך את שוויו, תוכר הוצאה</a:t>
          </a:r>
          <a:r>
            <a:rPr lang="he-IL" sz="1100" b="1" baseline="0"/>
            <a:t> בגובה זה נקודה.</a:t>
          </a:r>
          <a:endParaRPr lang="en-US" sz="1100" b="1"/>
        </a:p>
      </xdr:txBody>
    </xdr:sp>
    <xdr:clientData/>
  </xdr:twoCellAnchor>
  <xdr:twoCellAnchor>
    <xdr:from>
      <xdr:col>3</xdr:col>
      <xdr:colOff>20032</xdr:colOff>
      <xdr:row>152</xdr:row>
      <xdr:rowOff>124196</xdr:rowOff>
    </xdr:from>
    <xdr:to>
      <xdr:col>9</xdr:col>
      <xdr:colOff>592933</xdr:colOff>
      <xdr:row>152</xdr:row>
      <xdr:rowOff>144227</xdr:rowOff>
    </xdr:to>
    <xdr:cxnSp macro="">
      <xdr:nvCxnSpPr>
        <xdr:cNvPr id="14" name="Straight Arrow Connector 13">
          <a:extLst>
            <a:ext uri="{FF2B5EF4-FFF2-40B4-BE49-F238E27FC236}">
              <a16:creationId xmlns:a16="http://schemas.microsoft.com/office/drawing/2014/main" id="{75DBE60A-E6DE-5753-0487-870C30FE1ED3}"/>
            </a:ext>
          </a:extLst>
        </xdr:cNvPr>
        <xdr:cNvCxnSpPr/>
      </xdr:nvCxnSpPr>
      <xdr:spPr>
        <a:xfrm>
          <a:off x="13513689401" y="22106814"/>
          <a:ext cx="5524700" cy="20031"/>
        </a:xfrm>
        <a:prstGeom prst="straightConnector1">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4</xdr:col>
      <xdr:colOff>452714</xdr:colOff>
      <xdr:row>149</xdr:row>
      <xdr:rowOff>60095</xdr:rowOff>
    </xdr:from>
    <xdr:to>
      <xdr:col>8</xdr:col>
      <xdr:colOff>372588</xdr:colOff>
      <xdr:row>151</xdr:row>
      <xdr:rowOff>12018</xdr:rowOff>
    </xdr:to>
    <xdr:sp macro="" textlink="">
      <xdr:nvSpPr>
        <xdr:cNvPr id="15" name="Left Brace 14">
          <a:extLst>
            <a:ext uri="{FF2B5EF4-FFF2-40B4-BE49-F238E27FC236}">
              <a16:creationId xmlns:a16="http://schemas.microsoft.com/office/drawing/2014/main" id="{1B199841-9356-A8A5-A94B-AE5DF255FAD9}"/>
            </a:ext>
          </a:extLst>
        </xdr:cNvPr>
        <xdr:cNvSpPr/>
      </xdr:nvSpPr>
      <xdr:spPr>
        <a:xfrm rot="5400000">
          <a:off x="13516165299" y="19999495"/>
          <a:ext cx="360567" cy="3221073"/>
        </a:xfrm>
        <a:prstGeom prst="leftBrace">
          <a:avLst/>
        </a:prstGeom>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r" rtl="1"/>
          <a:endParaRPr lang="en-US" sz="1100"/>
        </a:p>
      </xdr:txBody>
    </xdr:sp>
    <xdr:clientData/>
  </xdr:twoCellAnchor>
  <xdr:twoCellAnchor>
    <xdr:from>
      <xdr:col>6</xdr:col>
      <xdr:colOff>344542</xdr:colOff>
      <xdr:row>152</xdr:row>
      <xdr:rowOff>28045</xdr:rowOff>
    </xdr:from>
    <xdr:to>
      <xdr:col>8</xdr:col>
      <xdr:colOff>380600</xdr:colOff>
      <xdr:row>153</xdr:row>
      <xdr:rowOff>140221</xdr:rowOff>
    </xdr:to>
    <xdr:sp macro="" textlink="">
      <xdr:nvSpPr>
        <xdr:cNvPr id="17" name="Left Brace 16">
          <a:extLst>
            <a:ext uri="{FF2B5EF4-FFF2-40B4-BE49-F238E27FC236}">
              <a16:creationId xmlns:a16="http://schemas.microsoft.com/office/drawing/2014/main" id="{F7E41D65-9C7B-5DF2-255D-ABE4849A9921}"/>
            </a:ext>
          </a:extLst>
        </xdr:cNvPr>
        <xdr:cNvSpPr/>
      </xdr:nvSpPr>
      <xdr:spPr>
        <a:xfrm rot="16200000">
          <a:off x="13515412114" y="21325583"/>
          <a:ext cx="316498" cy="1686658"/>
        </a:xfrm>
        <a:prstGeom prst="leftBrace">
          <a:avLst/>
        </a:prstGeom>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r" rtl="1"/>
          <a:endParaRPr lang="en-US" sz="1100"/>
        </a:p>
      </xdr:txBody>
    </xdr:sp>
    <xdr:clientData/>
  </xdr:twoCellAnchor>
  <xdr:twoCellAnchor>
    <xdr:from>
      <xdr:col>7</xdr:col>
      <xdr:colOff>340536</xdr:colOff>
      <xdr:row>162</xdr:row>
      <xdr:rowOff>8013</xdr:rowOff>
    </xdr:from>
    <xdr:to>
      <xdr:col>7</xdr:col>
      <xdr:colOff>456719</xdr:colOff>
      <xdr:row>163</xdr:row>
      <xdr:rowOff>32050</xdr:rowOff>
    </xdr:to>
    <xdr:sp macro="" textlink="">
      <xdr:nvSpPr>
        <xdr:cNvPr id="21" name="Down Arrow 20">
          <a:extLst>
            <a:ext uri="{FF2B5EF4-FFF2-40B4-BE49-F238E27FC236}">
              <a16:creationId xmlns:a16="http://schemas.microsoft.com/office/drawing/2014/main" id="{CAB794AE-5073-CA20-FFCF-7CEF306FC50B}"/>
            </a:ext>
          </a:extLst>
        </xdr:cNvPr>
        <xdr:cNvSpPr/>
      </xdr:nvSpPr>
      <xdr:spPr>
        <a:xfrm>
          <a:off x="13515476215" y="24033849"/>
          <a:ext cx="116183" cy="22835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4</xdr:col>
      <xdr:colOff>376593</xdr:colOff>
      <xdr:row>152</xdr:row>
      <xdr:rowOff>32050</xdr:rowOff>
    </xdr:from>
    <xdr:to>
      <xdr:col>6</xdr:col>
      <xdr:colOff>312494</xdr:colOff>
      <xdr:row>153</xdr:row>
      <xdr:rowOff>148233</xdr:rowOff>
    </xdr:to>
    <xdr:sp macro="" textlink="">
      <xdr:nvSpPr>
        <xdr:cNvPr id="22" name="Left Brace 21">
          <a:extLst>
            <a:ext uri="{FF2B5EF4-FFF2-40B4-BE49-F238E27FC236}">
              <a16:creationId xmlns:a16="http://schemas.microsoft.com/office/drawing/2014/main" id="{4E439DFB-7B7E-EE8B-7F8B-5EDE1E681E79}"/>
            </a:ext>
          </a:extLst>
        </xdr:cNvPr>
        <xdr:cNvSpPr/>
      </xdr:nvSpPr>
      <xdr:spPr>
        <a:xfrm rot="16200000">
          <a:off x="13517078737" y="21381671"/>
          <a:ext cx="320505" cy="1586500"/>
        </a:xfrm>
        <a:prstGeom prst="leftBrace">
          <a:avLst/>
        </a:prstGeom>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r" rtl="1"/>
          <a:endParaRPr lang="en-US" sz="1100"/>
        </a:p>
      </xdr:txBody>
    </xdr:sp>
    <xdr:clientData/>
  </xdr:twoCellAnchor>
  <xdr:twoCellAnchor>
    <xdr:from>
      <xdr:col>5</xdr:col>
      <xdr:colOff>324511</xdr:colOff>
      <xdr:row>161</xdr:row>
      <xdr:rowOff>32051</xdr:rowOff>
    </xdr:from>
    <xdr:to>
      <xdr:col>5</xdr:col>
      <xdr:colOff>440694</xdr:colOff>
      <xdr:row>162</xdr:row>
      <xdr:rowOff>56088</xdr:rowOff>
    </xdr:to>
    <xdr:sp macro="" textlink="">
      <xdr:nvSpPr>
        <xdr:cNvPr id="23" name="Down Arrow 22">
          <a:extLst>
            <a:ext uri="{FF2B5EF4-FFF2-40B4-BE49-F238E27FC236}">
              <a16:creationId xmlns:a16="http://schemas.microsoft.com/office/drawing/2014/main" id="{7B4606B4-C1AE-DC9C-1D33-D5F2D6C278B2}"/>
            </a:ext>
          </a:extLst>
        </xdr:cNvPr>
        <xdr:cNvSpPr/>
      </xdr:nvSpPr>
      <xdr:spPr>
        <a:xfrm>
          <a:off x="13517142839" y="23853565"/>
          <a:ext cx="116183" cy="22835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editAs="oneCell">
    <xdr:from>
      <xdr:col>9</xdr:col>
      <xdr:colOff>687551</xdr:colOff>
      <xdr:row>297</xdr:row>
      <xdr:rowOff>70069</xdr:rowOff>
    </xdr:from>
    <xdr:to>
      <xdr:col>11</xdr:col>
      <xdr:colOff>225972</xdr:colOff>
      <xdr:row>302</xdr:row>
      <xdr:rowOff>90653</xdr:rowOff>
    </xdr:to>
    <xdr:pic>
      <xdr:nvPicPr>
        <xdr:cNvPr id="24" name="Picture 23">
          <a:extLst>
            <a:ext uri="{FF2B5EF4-FFF2-40B4-BE49-F238E27FC236}">
              <a16:creationId xmlns:a16="http://schemas.microsoft.com/office/drawing/2014/main" id="{8C7E5436-0759-58B4-7A6F-D8F3924E3775}"/>
            </a:ext>
          </a:extLst>
        </xdr:cNvPr>
        <xdr:cNvPicPr>
          <a:picLocks noChangeAspect="1"/>
        </xdr:cNvPicPr>
      </xdr:nvPicPr>
      <xdr:blipFill>
        <a:blip xmlns:r="http://schemas.openxmlformats.org/officeDocument/2006/relationships" r:embed="rId4"/>
        <a:stretch>
          <a:fillRect/>
        </a:stretch>
      </xdr:blipFill>
      <xdr:spPr>
        <a:xfrm>
          <a:off x="13551536752" y="33116345"/>
          <a:ext cx="1193800" cy="1054100"/>
        </a:xfrm>
        <a:prstGeom prst="rect">
          <a:avLst/>
        </a:prstGeom>
      </xdr:spPr>
    </xdr:pic>
    <xdr:clientData/>
  </xdr:twoCellAnchor>
  <xdr:twoCellAnchor>
    <xdr:from>
      <xdr:col>7</xdr:col>
      <xdr:colOff>162034</xdr:colOff>
      <xdr:row>293</xdr:row>
      <xdr:rowOff>13139</xdr:rowOff>
    </xdr:from>
    <xdr:to>
      <xdr:col>9</xdr:col>
      <xdr:colOff>569310</xdr:colOff>
      <xdr:row>307</xdr:row>
      <xdr:rowOff>122622</xdr:rowOff>
    </xdr:to>
    <xdr:sp macro="" textlink="">
      <xdr:nvSpPr>
        <xdr:cNvPr id="25" name="Rounded Rectangular Callout 24">
          <a:extLst>
            <a:ext uri="{FF2B5EF4-FFF2-40B4-BE49-F238E27FC236}">
              <a16:creationId xmlns:a16="http://schemas.microsoft.com/office/drawing/2014/main" id="{B13CFCAA-14DA-98FF-4942-CB9E844EE094}"/>
            </a:ext>
          </a:extLst>
        </xdr:cNvPr>
        <xdr:cNvSpPr/>
      </xdr:nvSpPr>
      <xdr:spPr>
        <a:xfrm>
          <a:off x="13552848793" y="34268105"/>
          <a:ext cx="2062655" cy="2956034"/>
        </a:xfrm>
        <a:prstGeom prst="wedgeRoundRectCallout">
          <a:avLst>
            <a:gd name="adj1" fmla="val -59632"/>
            <a:gd name="adj2" fmla="val -9051"/>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הון עצמי - מתאר: ״כמה כסף נבע ממקורות שאינם התחייבות בעבר״.</a:t>
          </a:r>
        </a:p>
        <a:p>
          <a:pPr algn="r" rtl="1"/>
          <a:r>
            <a:rPr lang="he-IL" sz="1100"/>
            <a:t>שני גורמים מאד נפוצים</a:t>
          </a:r>
          <a:r>
            <a:rPr lang="he-IL" sz="1100" baseline="0"/>
            <a:t> יוצרים כסף והם לא התחייבות:</a:t>
          </a:r>
        </a:p>
        <a:p>
          <a:pPr algn="r" rtl="1"/>
          <a:r>
            <a:rPr lang="he-IL" sz="1100" baseline="0"/>
            <a:t>א. השקעת הבעלים בחברה: השקעה כזו לא יוצרת התחייבות כלפי החברה, לכן זה הון עצמי של החברה. </a:t>
          </a:r>
        </a:p>
        <a:p>
          <a:pPr algn="r" rtl="1"/>
          <a:r>
            <a:rPr lang="he-IL" sz="1100" baseline="0"/>
            <a:t>ב. רווח מצטבר (יתרת רווח / עודפים):  ״כמה כסף נוצר בחברה כתוצאה מרווחים שהצטברו בעבר״. גם רווח שמצטבר בחברה לא מייצר לה התחייבות, לכן גם זה מקור מימון הוני. </a:t>
          </a:r>
          <a:endParaRPr lang="en-US" sz="1100"/>
        </a:p>
      </xdr:txBody>
    </xdr:sp>
    <xdr:clientData/>
  </xdr:twoCellAnchor>
  <xdr:twoCellAnchor>
    <xdr:from>
      <xdr:col>4</xdr:col>
      <xdr:colOff>823309</xdr:colOff>
      <xdr:row>299</xdr:row>
      <xdr:rowOff>91966</xdr:rowOff>
    </xdr:from>
    <xdr:to>
      <xdr:col>7</xdr:col>
      <xdr:colOff>140136</xdr:colOff>
      <xdr:row>300</xdr:row>
      <xdr:rowOff>144517</xdr:rowOff>
    </xdr:to>
    <xdr:sp macro="" textlink="">
      <xdr:nvSpPr>
        <xdr:cNvPr id="26" name="Left Arrow 25">
          <a:extLst>
            <a:ext uri="{FF2B5EF4-FFF2-40B4-BE49-F238E27FC236}">
              <a16:creationId xmlns:a16="http://schemas.microsoft.com/office/drawing/2014/main" id="{0B81C817-2BB1-7BEF-DA67-B09131DEA2C1}"/>
            </a:ext>
          </a:extLst>
        </xdr:cNvPr>
        <xdr:cNvSpPr/>
      </xdr:nvSpPr>
      <xdr:spPr>
        <a:xfrm>
          <a:off x="13554933346" y="33554276"/>
          <a:ext cx="1799896" cy="25400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9</xdr:col>
      <xdr:colOff>446873</xdr:colOff>
      <xdr:row>69</xdr:row>
      <xdr:rowOff>22163</xdr:rowOff>
    </xdr:from>
    <xdr:to>
      <xdr:col>9</xdr:col>
      <xdr:colOff>457590</xdr:colOff>
      <xdr:row>73</xdr:row>
      <xdr:rowOff>172206</xdr:rowOff>
    </xdr:to>
    <xdr:cxnSp macro="">
      <xdr:nvCxnSpPr>
        <xdr:cNvPr id="12" name="Straight Arrow Connector 11">
          <a:extLst>
            <a:ext uri="{FF2B5EF4-FFF2-40B4-BE49-F238E27FC236}">
              <a16:creationId xmlns:a16="http://schemas.microsoft.com/office/drawing/2014/main" id="{58DE5A09-62D0-C400-A6FB-EAC2A65BFDE4}"/>
            </a:ext>
          </a:extLst>
        </xdr:cNvPr>
        <xdr:cNvCxnSpPr/>
      </xdr:nvCxnSpPr>
      <xdr:spPr>
        <a:xfrm>
          <a:off x="13507680627" y="13969142"/>
          <a:ext cx="10717" cy="1193668"/>
        </a:xfrm>
        <a:prstGeom prst="straightConnector1">
          <a:avLst/>
        </a:prstGeom>
        <a:ln w="19050" cap="flat" cmpd="sng" algn="ctr">
          <a:solidFill>
            <a:schemeClr val="accent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9</xdr:col>
      <xdr:colOff>196701</xdr:colOff>
      <xdr:row>79</xdr:row>
      <xdr:rowOff>1</xdr:rowOff>
    </xdr:from>
    <xdr:to>
      <xdr:col>9</xdr:col>
      <xdr:colOff>200436</xdr:colOff>
      <xdr:row>81</xdr:row>
      <xdr:rowOff>59272</xdr:rowOff>
    </xdr:to>
    <xdr:cxnSp macro="">
      <xdr:nvCxnSpPr>
        <xdr:cNvPr id="13" name="Straight Arrow Connector 12">
          <a:extLst>
            <a:ext uri="{FF2B5EF4-FFF2-40B4-BE49-F238E27FC236}">
              <a16:creationId xmlns:a16="http://schemas.microsoft.com/office/drawing/2014/main" id="{889B0281-7E74-64C3-EEA9-00FD8936E3BC}"/>
            </a:ext>
          </a:extLst>
        </xdr:cNvPr>
        <xdr:cNvCxnSpPr/>
      </xdr:nvCxnSpPr>
      <xdr:spPr>
        <a:xfrm flipH="1">
          <a:off x="13513861012" y="16334681"/>
          <a:ext cx="3735" cy="469776"/>
        </a:xfrm>
        <a:prstGeom prst="straightConnector1">
          <a:avLst/>
        </a:prstGeom>
        <a:ln w="19050" cap="flat" cmpd="sng" algn="ctr">
          <a:solidFill>
            <a:schemeClr val="accent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12</xdr:col>
      <xdr:colOff>431346</xdr:colOff>
      <xdr:row>69</xdr:row>
      <xdr:rowOff>11854</xdr:rowOff>
    </xdr:from>
    <xdr:to>
      <xdr:col>12</xdr:col>
      <xdr:colOff>442063</xdr:colOff>
      <xdr:row>73</xdr:row>
      <xdr:rowOff>161897</xdr:rowOff>
    </xdr:to>
    <xdr:cxnSp macro="">
      <xdr:nvCxnSpPr>
        <xdr:cNvPr id="18" name="Straight Arrow Connector 17">
          <a:extLst>
            <a:ext uri="{FF2B5EF4-FFF2-40B4-BE49-F238E27FC236}">
              <a16:creationId xmlns:a16="http://schemas.microsoft.com/office/drawing/2014/main" id="{B5CB8FAE-C23A-2B83-0A38-FF408580285D}"/>
            </a:ext>
          </a:extLst>
        </xdr:cNvPr>
        <xdr:cNvCxnSpPr/>
      </xdr:nvCxnSpPr>
      <xdr:spPr>
        <a:xfrm>
          <a:off x="13511143527" y="14067376"/>
          <a:ext cx="10717" cy="1197686"/>
        </a:xfrm>
        <a:prstGeom prst="straightConnector1">
          <a:avLst/>
        </a:prstGeom>
        <a:ln w="19050" cap="flat" cmpd="sng" algn="ctr">
          <a:solidFill>
            <a:schemeClr val="accent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xdr:col>
      <xdr:colOff>607219</xdr:colOff>
      <xdr:row>181</xdr:row>
      <xdr:rowOff>27781</xdr:rowOff>
    </xdr:from>
    <xdr:to>
      <xdr:col>3</xdr:col>
      <xdr:colOff>769937</xdr:colOff>
      <xdr:row>182</xdr:row>
      <xdr:rowOff>67469</xdr:rowOff>
    </xdr:to>
    <xdr:cxnSp macro="">
      <xdr:nvCxnSpPr>
        <xdr:cNvPr id="20" name="Straight Arrow Connector 19">
          <a:extLst>
            <a:ext uri="{FF2B5EF4-FFF2-40B4-BE49-F238E27FC236}">
              <a16:creationId xmlns:a16="http://schemas.microsoft.com/office/drawing/2014/main" id="{8D75187A-430D-456B-F587-BE2FBB18F2F2}"/>
            </a:ext>
          </a:extLst>
        </xdr:cNvPr>
        <xdr:cNvCxnSpPr/>
      </xdr:nvCxnSpPr>
      <xdr:spPr>
        <a:xfrm>
          <a:off x="13521745563" y="28273375"/>
          <a:ext cx="988218" cy="25400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603250</xdr:colOff>
      <xdr:row>182</xdr:row>
      <xdr:rowOff>119063</xdr:rowOff>
    </xdr:from>
    <xdr:to>
      <xdr:col>3</xdr:col>
      <xdr:colOff>765968</xdr:colOff>
      <xdr:row>186</xdr:row>
      <xdr:rowOff>83343</xdr:rowOff>
    </xdr:to>
    <xdr:cxnSp macro="">
      <xdr:nvCxnSpPr>
        <xdr:cNvPr id="27" name="Straight Arrow Connector 26">
          <a:extLst>
            <a:ext uri="{FF2B5EF4-FFF2-40B4-BE49-F238E27FC236}">
              <a16:creationId xmlns:a16="http://schemas.microsoft.com/office/drawing/2014/main" id="{41D536DF-E022-ACF9-36CE-79705F1C09AF}"/>
            </a:ext>
          </a:extLst>
        </xdr:cNvPr>
        <xdr:cNvCxnSpPr/>
      </xdr:nvCxnSpPr>
      <xdr:spPr>
        <a:xfrm flipV="1">
          <a:off x="13521749532" y="28578969"/>
          <a:ext cx="988218" cy="809624"/>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696310</xdr:colOff>
      <xdr:row>1</xdr:row>
      <xdr:rowOff>83207</xdr:rowOff>
    </xdr:from>
    <xdr:to>
      <xdr:col>9</xdr:col>
      <xdr:colOff>70069</xdr:colOff>
      <xdr:row>2</xdr:row>
      <xdr:rowOff>70069</xdr:rowOff>
    </xdr:to>
    <xdr:sp macro="" textlink="">
      <xdr:nvSpPr>
        <xdr:cNvPr id="11" name="Rounded Rectangle 10">
          <a:extLst>
            <a:ext uri="{FF2B5EF4-FFF2-40B4-BE49-F238E27FC236}">
              <a16:creationId xmlns:a16="http://schemas.microsoft.com/office/drawing/2014/main" id="{6D32230B-6D55-E89A-1CC8-8F54DEC65E8A}"/>
            </a:ext>
          </a:extLst>
        </xdr:cNvPr>
        <xdr:cNvSpPr/>
      </xdr:nvSpPr>
      <xdr:spPr>
        <a:xfrm>
          <a:off x="13553348034" y="538655"/>
          <a:ext cx="201449" cy="201448"/>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1</a:t>
          </a:r>
          <a:endParaRPr lang="en-US" sz="1100"/>
        </a:p>
      </xdr:txBody>
    </xdr:sp>
    <xdr:clientData/>
  </xdr:twoCellAnchor>
  <xdr:twoCellAnchor>
    <xdr:from>
      <xdr:col>6</xdr:col>
      <xdr:colOff>96343</xdr:colOff>
      <xdr:row>12</xdr:row>
      <xdr:rowOff>201447</xdr:rowOff>
    </xdr:from>
    <xdr:to>
      <xdr:col>6</xdr:col>
      <xdr:colOff>297792</xdr:colOff>
      <xdr:row>13</xdr:row>
      <xdr:rowOff>201447</xdr:rowOff>
    </xdr:to>
    <xdr:sp macro="" textlink="">
      <xdr:nvSpPr>
        <xdr:cNvPr id="16" name="Rounded Rectangle 15">
          <a:extLst>
            <a:ext uri="{FF2B5EF4-FFF2-40B4-BE49-F238E27FC236}">
              <a16:creationId xmlns:a16="http://schemas.microsoft.com/office/drawing/2014/main" id="{FBABB037-39AB-0F9F-C788-80A557ADCDE3}"/>
            </a:ext>
          </a:extLst>
        </xdr:cNvPr>
        <xdr:cNvSpPr/>
      </xdr:nvSpPr>
      <xdr:spPr>
        <a:xfrm>
          <a:off x="13555603380" y="2977930"/>
          <a:ext cx="201449" cy="201448"/>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2</a:t>
          </a:r>
          <a:endParaRPr lang="en-US" sz="1100"/>
        </a:p>
      </xdr:txBody>
    </xdr:sp>
    <xdr:clientData/>
  </xdr:twoCellAnchor>
  <xdr:twoCellAnchor>
    <xdr:from>
      <xdr:col>7</xdr:col>
      <xdr:colOff>788275</xdr:colOff>
      <xdr:row>11</xdr:row>
      <xdr:rowOff>118241</xdr:rowOff>
    </xdr:from>
    <xdr:to>
      <xdr:col>8</xdr:col>
      <xdr:colOff>586827</xdr:colOff>
      <xdr:row>13</xdr:row>
      <xdr:rowOff>105103</xdr:rowOff>
    </xdr:to>
    <xdr:cxnSp macro="">
      <xdr:nvCxnSpPr>
        <xdr:cNvPr id="28" name="Straight Arrow Connector 27">
          <a:extLst>
            <a:ext uri="{FF2B5EF4-FFF2-40B4-BE49-F238E27FC236}">
              <a16:creationId xmlns:a16="http://schemas.microsoft.com/office/drawing/2014/main" id="{E7BCFAA3-B3AC-CF65-2688-D7E302877793}"/>
            </a:ext>
          </a:extLst>
        </xdr:cNvPr>
        <xdr:cNvCxnSpPr/>
      </xdr:nvCxnSpPr>
      <xdr:spPr>
        <a:xfrm flipH="1" flipV="1">
          <a:off x="13553658966" y="2680138"/>
          <a:ext cx="626241" cy="402896"/>
        </a:xfrm>
        <a:prstGeom prst="straightConnector1">
          <a:avLst/>
        </a:prstGeom>
        <a:ln w="19050" cap="flat" cmpd="sng" algn="ctr">
          <a:solidFill>
            <a:schemeClr val="accent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7</xdr:col>
      <xdr:colOff>797033</xdr:colOff>
      <xdr:row>13</xdr:row>
      <xdr:rowOff>91966</xdr:rowOff>
    </xdr:from>
    <xdr:to>
      <xdr:col>8</xdr:col>
      <xdr:colOff>635000</xdr:colOff>
      <xdr:row>13</xdr:row>
      <xdr:rowOff>109483</xdr:rowOff>
    </xdr:to>
    <xdr:cxnSp macro="">
      <xdr:nvCxnSpPr>
        <xdr:cNvPr id="29" name="Straight Arrow Connector 28">
          <a:extLst>
            <a:ext uri="{FF2B5EF4-FFF2-40B4-BE49-F238E27FC236}">
              <a16:creationId xmlns:a16="http://schemas.microsoft.com/office/drawing/2014/main" id="{B46CEDF2-4F14-24A5-373C-259F15D831AF}"/>
            </a:ext>
          </a:extLst>
        </xdr:cNvPr>
        <xdr:cNvCxnSpPr/>
      </xdr:nvCxnSpPr>
      <xdr:spPr>
        <a:xfrm flipH="1">
          <a:off x="13553610793" y="3069897"/>
          <a:ext cx="665656" cy="17517"/>
        </a:xfrm>
        <a:prstGeom prst="straightConnector1">
          <a:avLst/>
        </a:prstGeom>
        <a:ln w="19050" cap="flat" cmpd="sng" algn="ctr">
          <a:solidFill>
            <a:schemeClr val="accent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691929</xdr:colOff>
      <xdr:row>17</xdr:row>
      <xdr:rowOff>30653</xdr:rowOff>
    </xdr:from>
    <xdr:to>
      <xdr:col>2</xdr:col>
      <xdr:colOff>65689</xdr:colOff>
      <xdr:row>18</xdr:row>
      <xdr:rowOff>43792</xdr:rowOff>
    </xdr:to>
    <xdr:sp macro="" textlink="">
      <xdr:nvSpPr>
        <xdr:cNvPr id="34" name="Rounded Rectangle 33">
          <a:extLst>
            <a:ext uri="{FF2B5EF4-FFF2-40B4-BE49-F238E27FC236}">
              <a16:creationId xmlns:a16="http://schemas.microsoft.com/office/drawing/2014/main" id="{480E4225-1D57-BB38-4709-A42277B3F47D}"/>
            </a:ext>
          </a:extLst>
        </xdr:cNvPr>
        <xdr:cNvSpPr/>
      </xdr:nvSpPr>
      <xdr:spPr>
        <a:xfrm>
          <a:off x="13559146242" y="3866929"/>
          <a:ext cx="201449" cy="214587"/>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3</a:t>
          </a:r>
          <a:endParaRPr lang="en-US" sz="1100"/>
        </a:p>
      </xdr:txBody>
    </xdr:sp>
    <xdr:clientData/>
  </xdr:twoCellAnchor>
  <xdr:twoCellAnchor>
    <xdr:from>
      <xdr:col>4</xdr:col>
      <xdr:colOff>13137</xdr:colOff>
      <xdr:row>68</xdr:row>
      <xdr:rowOff>39414</xdr:rowOff>
    </xdr:from>
    <xdr:to>
      <xdr:col>4</xdr:col>
      <xdr:colOff>214586</xdr:colOff>
      <xdr:row>69</xdr:row>
      <xdr:rowOff>39415</xdr:rowOff>
    </xdr:to>
    <xdr:sp macro="" textlink="">
      <xdr:nvSpPr>
        <xdr:cNvPr id="35" name="Rounded Rectangle 34">
          <a:extLst>
            <a:ext uri="{FF2B5EF4-FFF2-40B4-BE49-F238E27FC236}">
              <a16:creationId xmlns:a16="http://schemas.microsoft.com/office/drawing/2014/main" id="{EBF71F57-3417-B84D-85B6-225579080C34}"/>
            </a:ext>
          </a:extLst>
        </xdr:cNvPr>
        <xdr:cNvSpPr/>
      </xdr:nvSpPr>
      <xdr:spPr>
        <a:xfrm>
          <a:off x="13557341965" y="14188966"/>
          <a:ext cx="201449" cy="214587"/>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4</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222250</xdr:colOff>
      <xdr:row>371</xdr:row>
      <xdr:rowOff>63500</xdr:rowOff>
    </xdr:from>
    <xdr:to>
      <xdr:col>2</xdr:col>
      <xdr:colOff>222250</xdr:colOff>
      <xdr:row>372</xdr:row>
      <xdr:rowOff>140607</xdr:rowOff>
    </xdr:to>
    <xdr:cxnSp macro="">
      <xdr:nvCxnSpPr>
        <xdr:cNvPr id="3" name="Straight Arrow Connector 2">
          <a:extLst>
            <a:ext uri="{FF2B5EF4-FFF2-40B4-BE49-F238E27FC236}">
              <a16:creationId xmlns:a16="http://schemas.microsoft.com/office/drawing/2014/main" id="{60A15A62-7DB8-F07E-F790-CF328A5BA197}"/>
            </a:ext>
          </a:extLst>
        </xdr:cNvPr>
        <xdr:cNvCxnSpPr/>
      </xdr:nvCxnSpPr>
      <xdr:spPr>
        <a:xfrm>
          <a:off x="13523118750" y="29454929"/>
          <a:ext cx="0" cy="28121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762001</xdr:colOff>
      <xdr:row>371</xdr:row>
      <xdr:rowOff>31750</xdr:rowOff>
    </xdr:from>
    <xdr:to>
      <xdr:col>2</xdr:col>
      <xdr:colOff>766536</xdr:colOff>
      <xdr:row>374</xdr:row>
      <xdr:rowOff>136071</xdr:rowOff>
    </xdr:to>
    <xdr:cxnSp macro="">
      <xdr:nvCxnSpPr>
        <xdr:cNvPr id="4" name="Straight Arrow Connector 3">
          <a:extLst>
            <a:ext uri="{FF2B5EF4-FFF2-40B4-BE49-F238E27FC236}">
              <a16:creationId xmlns:a16="http://schemas.microsoft.com/office/drawing/2014/main" id="{72AE1647-E7A7-CB58-B69E-FA7CBDA0AA6C}"/>
            </a:ext>
          </a:extLst>
        </xdr:cNvPr>
        <xdr:cNvCxnSpPr/>
      </xdr:nvCxnSpPr>
      <xdr:spPr>
        <a:xfrm flipH="1">
          <a:off x="13522574464" y="29423179"/>
          <a:ext cx="4535" cy="71664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553358</xdr:colOff>
      <xdr:row>370</xdr:row>
      <xdr:rowOff>195037</xdr:rowOff>
    </xdr:from>
    <xdr:to>
      <xdr:col>3</xdr:col>
      <xdr:colOff>557893</xdr:colOff>
      <xdr:row>372</xdr:row>
      <xdr:rowOff>195035</xdr:rowOff>
    </xdr:to>
    <xdr:cxnSp macro="">
      <xdr:nvCxnSpPr>
        <xdr:cNvPr id="6" name="Straight Arrow Connector 5">
          <a:extLst>
            <a:ext uri="{FF2B5EF4-FFF2-40B4-BE49-F238E27FC236}">
              <a16:creationId xmlns:a16="http://schemas.microsoft.com/office/drawing/2014/main" id="{7D58B168-27E2-8B83-580A-3164B0BAC412}"/>
            </a:ext>
          </a:extLst>
        </xdr:cNvPr>
        <xdr:cNvCxnSpPr/>
      </xdr:nvCxnSpPr>
      <xdr:spPr>
        <a:xfrm flipH="1">
          <a:off x="13521957607" y="29382358"/>
          <a:ext cx="4535" cy="40821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752929</xdr:colOff>
      <xdr:row>371</xdr:row>
      <xdr:rowOff>40822</xdr:rowOff>
    </xdr:from>
    <xdr:to>
      <xdr:col>4</xdr:col>
      <xdr:colOff>766535</xdr:colOff>
      <xdr:row>374</xdr:row>
      <xdr:rowOff>18143</xdr:rowOff>
    </xdr:to>
    <xdr:cxnSp macro="">
      <xdr:nvCxnSpPr>
        <xdr:cNvPr id="8" name="Straight Arrow Connector 7">
          <a:extLst>
            <a:ext uri="{FF2B5EF4-FFF2-40B4-BE49-F238E27FC236}">
              <a16:creationId xmlns:a16="http://schemas.microsoft.com/office/drawing/2014/main" id="{626532AA-7E9C-C661-5541-2FEBD7ABB799}"/>
            </a:ext>
          </a:extLst>
        </xdr:cNvPr>
        <xdr:cNvCxnSpPr/>
      </xdr:nvCxnSpPr>
      <xdr:spPr>
        <a:xfrm flipH="1">
          <a:off x="13520923465" y="29432251"/>
          <a:ext cx="13606" cy="58964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576037</xdr:colOff>
      <xdr:row>371</xdr:row>
      <xdr:rowOff>4536</xdr:rowOff>
    </xdr:from>
    <xdr:to>
      <xdr:col>5</xdr:col>
      <xdr:colOff>594179</xdr:colOff>
      <xdr:row>372</xdr:row>
      <xdr:rowOff>167821</xdr:rowOff>
    </xdr:to>
    <xdr:cxnSp macro="">
      <xdr:nvCxnSpPr>
        <xdr:cNvPr id="10" name="Straight Arrow Connector 9">
          <a:extLst>
            <a:ext uri="{FF2B5EF4-FFF2-40B4-BE49-F238E27FC236}">
              <a16:creationId xmlns:a16="http://schemas.microsoft.com/office/drawing/2014/main" id="{C9948ECC-273A-D24A-6487-C08AC0FF87C8}"/>
            </a:ext>
          </a:extLst>
        </xdr:cNvPr>
        <xdr:cNvCxnSpPr/>
      </xdr:nvCxnSpPr>
      <xdr:spPr>
        <a:xfrm flipH="1">
          <a:off x="13520270321" y="29395965"/>
          <a:ext cx="18142" cy="36739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816383</xdr:colOff>
      <xdr:row>139</xdr:row>
      <xdr:rowOff>8411</xdr:rowOff>
    </xdr:from>
    <xdr:to>
      <xdr:col>2</xdr:col>
      <xdr:colOff>758300</xdr:colOff>
      <xdr:row>141</xdr:row>
      <xdr:rowOff>200089</xdr:rowOff>
    </xdr:to>
    <xdr:pic>
      <xdr:nvPicPr>
        <xdr:cNvPr id="2" name="Picture 1">
          <a:extLst>
            <a:ext uri="{FF2B5EF4-FFF2-40B4-BE49-F238E27FC236}">
              <a16:creationId xmlns:a16="http://schemas.microsoft.com/office/drawing/2014/main" id="{E7CBD58B-85DC-C82D-AB32-C5AC1FE5E7AB}"/>
            </a:ext>
          </a:extLst>
        </xdr:cNvPr>
        <xdr:cNvPicPr>
          <a:picLocks noChangeAspect="1"/>
        </xdr:cNvPicPr>
      </xdr:nvPicPr>
      <xdr:blipFill>
        <a:blip xmlns:r="http://schemas.openxmlformats.org/officeDocument/2006/relationships" r:embed="rId1"/>
        <a:stretch>
          <a:fillRect/>
        </a:stretch>
      </xdr:blipFill>
      <xdr:spPr>
        <a:xfrm>
          <a:off x="13501915342" y="9861424"/>
          <a:ext cx="766156" cy="595386"/>
        </a:xfrm>
        <a:prstGeom prst="rect">
          <a:avLst/>
        </a:prstGeom>
      </xdr:spPr>
    </xdr:pic>
    <xdr:clientData/>
  </xdr:twoCellAnchor>
  <xdr:twoCellAnchor>
    <xdr:from>
      <xdr:col>2</xdr:col>
      <xdr:colOff>222880</xdr:colOff>
      <xdr:row>142</xdr:row>
      <xdr:rowOff>147186</xdr:rowOff>
    </xdr:from>
    <xdr:to>
      <xdr:col>4</xdr:col>
      <xdr:colOff>281754</xdr:colOff>
      <xdr:row>146</xdr:row>
      <xdr:rowOff>63080</xdr:rowOff>
    </xdr:to>
    <xdr:sp macro="" textlink="">
      <xdr:nvSpPr>
        <xdr:cNvPr id="5" name="Rounded Rectangular Callout 4">
          <a:extLst>
            <a:ext uri="{FF2B5EF4-FFF2-40B4-BE49-F238E27FC236}">
              <a16:creationId xmlns:a16="http://schemas.microsoft.com/office/drawing/2014/main" id="{AFA7178D-84E5-18B4-6190-124EED413817}"/>
            </a:ext>
          </a:extLst>
        </xdr:cNvPr>
        <xdr:cNvSpPr/>
      </xdr:nvSpPr>
      <xdr:spPr>
        <a:xfrm>
          <a:off x="13500743411" y="10605762"/>
          <a:ext cx="1707351" cy="735927"/>
        </a:xfrm>
        <a:prstGeom prst="wedgeRoundRectCallout">
          <a:avLst>
            <a:gd name="adj1" fmla="val 34552"/>
            <a:gd name="adj2" fmla="val -75786"/>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שי, אלו נכסים ״מהירים״,</a:t>
          </a:r>
          <a:r>
            <a:rPr lang="he-IL" sz="1100" baseline="0"/>
            <a:t> מזומן ונכסים אחרים שהופכים למזומן ״מהר״</a:t>
          </a:r>
          <a:endParaRPr lang="en-US" sz="1100"/>
        </a:p>
      </xdr:txBody>
    </xdr:sp>
    <xdr:clientData/>
  </xdr:twoCellAnchor>
  <xdr:twoCellAnchor editAs="oneCell">
    <xdr:from>
      <xdr:col>1</xdr:col>
      <xdr:colOff>820034</xdr:colOff>
      <xdr:row>146</xdr:row>
      <xdr:rowOff>214248</xdr:rowOff>
    </xdr:from>
    <xdr:to>
      <xdr:col>3</xdr:col>
      <xdr:colOff>13794</xdr:colOff>
      <xdr:row>150</xdr:row>
      <xdr:rowOff>181668</xdr:rowOff>
    </xdr:to>
    <xdr:pic>
      <xdr:nvPicPr>
        <xdr:cNvPr id="7" name="Picture 6">
          <a:extLst>
            <a:ext uri="{FF2B5EF4-FFF2-40B4-BE49-F238E27FC236}">
              <a16:creationId xmlns:a16="http://schemas.microsoft.com/office/drawing/2014/main" id="{8AA359FC-2579-62B6-C606-A207FB73C4AA}"/>
            </a:ext>
          </a:extLst>
        </xdr:cNvPr>
        <xdr:cNvPicPr>
          <a:picLocks noChangeAspect="1"/>
        </xdr:cNvPicPr>
      </xdr:nvPicPr>
      <xdr:blipFill>
        <a:blip xmlns:r="http://schemas.openxmlformats.org/officeDocument/2006/relationships" r:embed="rId2"/>
        <a:stretch>
          <a:fillRect/>
        </a:stretch>
      </xdr:blipFill>
      <xdr:spPr>
        <a:xfrm>
          <a:off x="13501835610" y="11492857"/>
          <a:ext cx="842237" cy="812685"/>
        </a:xfrm>
        <a:prstGeom prst="rect">
          <a:avLst/>
        </a:prstGeom>
      </xdr:spPr>
    </xdr:pic>
    <xdr:clientData/>
  </xdr:twoCellAnchor>
  <xdr:twoCellAnchor>
    <xdr:from>
      <xdr:col>2</xdr:col>
      <xdr:colOff>412119</xdr:colOff>
      <xdr:row>150</xdr:row>
      <xdr:rowOff>134571</xdr:rowOff>
    </xdr:from>
    <xdr:to>
      <xdr:col>4</xdr:col>
      <xdr:colOff>470993</xdr:colOff>
      <xdr:row>154</xdr:row>
      <xdr:rowOff>50465</xdr:rowOff>
    </xdr:to>
    <xdr:sp macro="" textlink="">
      <xdr:nvSpPr>
        <xdr:cNvPr id="9" name="Rounded Rectangular Callout 8">
          <a:extLst>
            <a:ext uri="{FF2B5EF4-FFF2-40B4-BE49-F238E27FC236}">
              <a16:creationId xmlns:a16="http://schemas.microsoft.com/office/drawing/2014/main" id="{037D64E8-4CAD-412E-1492-A626E7F159A8}"/>
            </a:ext>
          </a:extLst>
        </xdr:cNvPr>
        <xdr:cNvSpPr/>
      </xdr:nvSpPr>
      <xdr:spPr>
        <a:xfrm>
          <a:off x="13500554172" y="12233213"/>
          <a:ext cx="1707351" cy="735927"/>
        </a:xfrm>
        <a:prstGeom prst="wedgeRoundRectCallout">
          <a:avLst>
            <a:gd name="adj1" fmla="val 34552"/>
            <a:gd name="adj2" fmla="val -75786"/>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בנכסים אלו אני צופה שהחברה תשתמש</a:t>
          </a:r>
          <a:r>
            <a:rPr lang="he-IL" sz="1100" baseline="0"/>
            <a:t> תקופה ארוכה, מעל שנה</a:t>
          </a:r>
          <a:endParaRPr lang="en-US" sz="1100"/>
        </a:p>
      </xdr:txBody>
    </xdr:sp>
    <xdr:clientData/>
  </xdr:twoCellAnchor>
  <xdr:twoCellAnchor editAs="oneCell">
    <xdr:from>
      <xdr:col>9</xdr:col>
      <xdr:colOff>628816</xdr:colOff>
      <xdr:row>138</xdr:row>
      <xdr:rowOff>189239</xdr:rowOff>
    </xdr:from>
    <xdr:to>
      <xdr:col>10</xdr:col>
      <xdr:colOff>675540</xdr:colOff>
      <xdr:row>142</xdr:row>
      <xdr:rowOff>42224</xdr:rowOff>
    </xdr:to>
    <xdr:pic>
      <xdr:nvPicPr>
        <xdr:cNvPr id="11" name="Picture 10">
          <a:extLst>
            <a:ext uri="{FF2B5EF4-FFF2-40B4-BE49-F238E27FC236}">
              <a16:creationId xmlns:a16="http://schemas.microsoft.com/office/drawing/2014/main" id="{2EAF06DC-2DEC-AF6D-A892-E1EF3956AED1}"/>
            </a:ext>
          </a:extLst>
        </xdr:cNvPr>
        <xdr:cNvPicPr>
          <a:picLocks noChangeAspect="1"/>
        </xdr:cNvPicPr>
      </xdr:nvPicPr>
      <xdr:blipFill>
        <a:blip xmlns:r="http://schemas.openxmlformats.org/officeDocument/2006/relationships" r:embed="rId3"/>
        <a:stretch>
          <a:fillRect/>
        </a:stretch>
      </xdr:blipFill>
      <xdr:spPr>
        <a:xfrm>
          <a:off x="13495404195" y="9827782"/>
          <a:ext cx="870962" cy="673016"/>
        </a:xfrm>
        <a:prstGeom prst="rect">
          <a:avLst/>
        </a:prstGeom>
      </xdr:spPr>
    </xdr:pic>
    <xdr:clientData/>
  </xdr:twoCellAnchor>
  <xdr:twoCellAnchor>
    <xdr:from>
      <xdr:col>7</xdr:col>
      <xdr:colOff>765364</xdr:colOff>
      <xdr:row>142</xdr:row>
      <xdr:rowOff>33643</xdr:rowOff>
    </xdr:from>
    <xdr:to>
      <xdr:col>10</xdr:col>
      <xdr:colOff>180827</xdr:colOff>
      <xdr:row>145</xdr:row>
      <xdr:rowOff>197649</xdr:rowOff>
    </xdr:to>
    <xdr:sp macro="" textlink="">
      <xdr:nvSpPr>
        <xdr:cNvPr id="12" name="Rounded Rectangular Callout 11">
          <a:extLst>
            <a:ext uri="{FF2B5EF4-FFF2-40B4-BE49-F238E27FC236}">
              <a16:creationId xmlns:a16="http://schemas.microsoft.com/office/drawing/2014/main" id="{278593D3-5DA0-1A81-964F-F46D66747721}"/>
            </a:ext>
          </a:extLst>
        </xdr:cNvPr>
        <xdr:cNvSpPr/>
      </xdr:nvSpPr>
      <xdr:spPr>
        <a:xfrm>
          <a:off x="13495898908" y="10492219"/>
          <a:ext cx="1888178" cy="782185"/>
        </a:xfrm>
        <a:prstGeom prst="wedgeRoundRectCallout">
          <a:avLst>
            <a:gd name="adj1" fmla="val -38847"/>
            <a:gd name="adj2" fmla="val -67921"/>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שי, מהר מהר, תתארגן לפרוע התחייבויות אלו כי מועד פרעונן קרוב מאד (עד שנה)</a:t>
          </a:r>
          <a:endParaRPr lang="en-US" sz="1100"/>
        </a:p>
      </xdr:txBody>
    </xdr:sp>
    <xdr:clientData/>
  </xdr:twoCellAnchor>
  <xdr:twoCellAnchor editAs="oneCell">
    <xdr:from>
      <xdr:col>9</xdr:col>
      <xdr:colOff>714899</xdr:colOff>
      <xdr:row>146</xdr:row>
      <xdr:rowOff>21443</xdr:rowOff>
    </xdr:from>
    <xdr:to>
      <xdr:col>11</xdr:col>
      <xdr:colOff>123719</xdr:colOff>
      <xdr:row>150</xdr:row>
      <xdr:rowOff>67453</xdr:rowOff>
    </xdr:to>
    <xdr:pic>
      <xdr:nvPicPr>
        <xdr:cNvPr id="13" name="Picture 12">
          <a:extLst>
            <a:ext uri="{FF2B5EF4-FFF2-40B4-BE49-F238E27FC236}">
              <a16:creationId xmlns:a16="http://schemas.microsoft.com/office/drawing/2014/main" id="{8D0EA99C-82EE-CA1B-12DC-611E315C1840}"/>
            </a:ext>
          </a:extLst>
        </xdr:cNvPr>
        <xdr:cNvPicPr>
          <a:picLocks noChangeAspect="1"/>
        </xdr:cNvPicPr>
      </xdr:nvPicPr>
      <xdr:blipFill>
        <a:blip xmlns:r="http://schemas.openxmlformats.org/officeDocument/2006/relationships" r:embed="rId4"/>
        <a:stretch>
          <a:fillRect/>
        </a:stretch>
      </xdr:blipFill>
      <xdr:spPr>
        <a:xfrm>
          <a:off x="13495131777" y="11325284"/>
          <a:ext cx="1057297" cy="891275"/>
        </a:xfrm>
        <a:prstGeom prst="rect">
          <a:avLst/>
        </a:prstGeom>
      </xdr:spPr>
    </xdr:pic>
    <xdr:clientData/>
  </xdr:twoCellAnchor>
  <xdr:twoCellAnchor>
    <xdr:from>
      <xdr:col>7</xdr:col>
      <xdr:colOff>710694</xdr:colOff>
      <xdr:row>147</xdr:row>
      <xdr:rowOff>33644</xdr:rowOff>
    </xdr:from>
    <xdr:to>
      <xdr:col>10</xdr:col>
      <xdr:colOff>126157</xdr:colOff>
      <xdr:row>151</xdr:row>
      <xdr:rowOff>8412</xdr:rowOff>
    </xdr:to>
    <xdr:sp macro="" textlink="">
      <xdr:nvSpPr>
        <xdr:cNvPr id="14" name="Rounded Rectangular Callout 13">
          <a:extLst>
            <a:ext uri="{FF2B5EF4-FFF2-40B4-BE49-F238E27FC236}">
              <a16:creationId xmlns:a16="http://schemas.microsoft.com/office/drawing/2014/main" id="{D2345820-58B2-45E6-6B06-F0FE5EB1C9AE}"/>
            </a:ext>
          </a:extLst>
        </xdr:cNvPr>
        <xdr:cNvSpPr/>
      </xdr:nvSpPr>
      <xdr:spPr>
        <a:xfrm>
          <a:off x="13495953578" y="11551955"/>
          <a:ext cx="1888178" cy="794801"/>
        </a:xfrm>
        <a:prstGeom prst="wedgeRoundRectCallout">
          <a:avLst>
            <a:gd name="adj1" fmla="val -58001"/>
            <a:gd name="adj2" fmla="val -8662"/>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שי, ההתחייבויות הלא שוטפות </a:t>
          </a:r>
          <a:r>
            <a:rPr lang="he-IL" sz="1100" u="sng"/>
            <a:t>אינן מלחיצות אותי , יש לנו זמן (מעל שנה) עד מועד הפירעון</a:t>
          </a:r>
          <a:endParaRPr lang="en-US" sz="1100" u="sng"/>
        </a:p>
      </xdr:txBody>
    </xdr:sp>
    <xdr:clientData/>
  </xdr:twoCellAnchor>
  <xdr:twoCellAnchor editAs="oneCell">
    <xdr:from>
      <xdr:col>8</xdr:col>
      <xdr:colOff>16822</xdr:colOff>
      <xdr:row>153</xdr:row>
      <xdr:rowOff>69119</xdr:rowOff>
    </xdr:from>
    <xdr:to>
      <xdr:col>10</xdr:col>
      <xdr:colOff>344751</xdr:colOff>
      <xdr:row>158</xdr:row>
      <xdr:rowOff>59127</xdr:rowOff>
    </xdr:to>
    <xdr:pic>
      <xdr:nvPicPr>
        <xdr:cNvPr id="15" name="Picture 14" descr="Are we truly equal? UWM philosopher thinks not - Letters and Science">
          <a:extLst>
            <a:ext uri="{FF2B5EF4-FFF2-40B4-BE49-F238E27FC236}">
              <a16:creationId xmlns:a16="http://schemas.microsoft.com/office/drawing/2014/main" id="{4A40A74D-C3D6-05B4-1B5D-6042A5308C8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495734984" y="12836404"/>
          <a:ext cx="1976406" cy="1037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743502</xdr:colOff>
      <xdr:row>363</xdr:row>
      <xdr:rowOff>173693</xdr:rowOff>
    </xdr:from>
    <xdr:to>
      <xdr:col>3</xdr:col>
      <xdr:colOff>749016</xdr:colOff>
      <xdr:row>365</xdr:row>
      <xdr:rowOff>32016</xdr:rowOff>
    </xdr:to>
    <xdr:cxnSp macro="">
      <xdr:nvCxnSpPr>
        <xdr:cNvPr id="16" name="Straight Arrow Connector 15">
          <a:extLst>
            <a:ext uri="{FF2B5EF4-FFF2-40B4-BE49-F238E27FC236}">
              <a16:creationId xmlns:a16="http://schemas.microsoft.com/office/drawing/2014/main" id="{FCD16403-2293-732C-2000-460FCC429F0D}"/>
            </a:ext>
          </a:extLst>
        </xdr:cNvPr>
        <xdr:cNvCxnSpPr/>
      </xdr:nvCxnSpPr>
      <xdr:spPr>
        <a:xfrm>
          <a:off x="13518852777" y="30916942"/>
          <a:ext cx="5514" cy="2638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761289</xdr:colOff>
      <xdr:row>363</xdr:row>
      <xdr:rowOff>184986</xdr:rowOff>
    </xdr:from>
    <xdr:to>
      <xdr:col>4</xdr:col>
      <xdr:colOff>779076</xdr:colOff>
      <xdr:row>365</xdr:row>
      <xdr:rowOff>53360</xdr:rowOff>
    </xdr:to>
    <xdr:cxnSp macro="">
      <xdr:nvCxnSpPr>
        <xdr:cNvPr id="18" name="Straight Arrow Connector 17">
          <a:extLst>
            <a:ext uri="{FF2B5EF4-FFF2-40B4-BE49-F238E27FC236}">
              <a16:creationId xmlns:a16="http://schemas.microsoft.com/office/drawing/2014/main" id="{BD4DD8F4-4CA3-3119-2D58-35D8725DE2C7}"/>
            </a:ext>
          </a:extLst>
        </xdr:cNvPr>
        <xdr:cNvCxnSpPr/>
      </xdr:nvCxnSpPr>
      <xdr:spPr>
        <a:xfrm flipH="1">
          <a:off x="13517997394" y="30928235"/>
          <a:ext cx="843110" cy="27392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811092</xdr:colOff>
      <xdr:row>365</xdr:row>
      <xdr:rowOff>192100</xdr:rowOff>
    </xdr:from>
    <xdr:to>
      <xdr:col>5</xdr:col>
      <xdr:colOff>67591</xdr:colOff>
      <xdr:row>367</xdr:row>
      <xdr:rowOff>81820</xdr:rowOff>
    </xdr:to>
    <xdr:cxnSp macro="">
      <xdr:nvCxnSpPr>
        <xdr:cNvPr id="20" name="Straight Arrow Connector 19">
          <a:extLst>
            <a:ext uri="{FF2B5EF4-FFF2-40B4-BE49-F238E27FC236}">
              <a16:creationId xmlns:a16="http://schemas.microsoft.com/office/drawing/2014/main" id="{3E863F65-9A5E-721A-D8A5-418EC79A1507}"/>
            </a:ext>
          </a:extLst>
        </xdr:cNvPr>
        <xdr:cNvCxnSpPr/>
      </xdr:nvCxnSpPr>
      <xdr:spPr>
        <a:xfrm flipH="1">
          <a:off x="13517883557" y="31340896"/>
          <a:ext cx="81821" cy="2952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818207</xdr:colOff>
      <xdr:row>365</xdr:row>
      <xdr:rowOff>192100</xdr:rowOff>
    </xdr:from>
    <xdr:to>
      <xdr:col>5</xdr:col>
      <xdr:colOff>704370</xdr:colOff>
      <xdr:row>367</xdr:row>
      <xdr:rowOff>56918</xdr:rowOff>
    </xdr:to>
    <xdr:cxnSp macro="">
      <xdr:nvCxnSpPr>
        <xdr:cNvPr id="22" name="Straight Arrow Connector 21">
          <a:extLst>
            <a:ext uri="{FF2B5EF4-FFF2-40B4-BE49-F238E27FC236}">
              <a16:creationId xmlns:a16="http://schemas.microsoft.com/office/drawing/2014/main" id="{A37DE3E4-832C-D847-0AA8-F2AF30F7C12E}"/>
            </a:ext>
          </a:extLst>
        </xdr:cNvPr>
        <xdr:cNvCxnSpPr/>
      </xdr:nvCxnSpPr>
      <xdr:spPr>
        <a:xfrm flipH="1">
          <a:off x="13517246778" y="31340896"/>
          <a:ext cx="711485" cy="27036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69850</xdr:colOff>
      <xdr:row>415</xdr:row>
      <xdr:rowOff>63500</xdr:rowOff>
    </xdr:from>
    <xdr:to>
      <xdr:col>3</xdr:col>
      <xdr:colOff>698500</xdr:colOff>
      <xdr:row>415</xdr:row>
      <xdr:rowOff>190500</xdr:rowOff>
    </xdr:to>
    <xdr:sp macro="" textlink="">
      <xdr:nvSpPr>
        <xdr:cNvPr id="19" name="Left Arrow 18">
          <a:extLst>
            <a:ext uri="{FF2B5EF4-FFF2-40B4-BE49-F238E27FC236}">
              <a16:creationId xmlns:a16="http://schemas.microsoft.com/office/drawing/2014/main" id="{6162AB60-8E5D-F5B7-8224-02900FD2B8FD}"/>
            </a:ext>
          </a:extLst>
        </xdr:cNvPr>
        <xdr:cNvSpPr/>
      </xdr:nvSpPr>
      <xdr:spPr>
        <a:xfrm>
          <a:off x="13521817000" y="40005000"/>
          <a:ext cx="628650" cy="12700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6</xdr:col>
      <xdr:colOff>647701</xdr:colOff>
      <xdr:row>411</xdr:row>
      <xdr:rowOff>133350</xdr:rowOff>
    </xdr:from>
    <xdr:to>
      <xdr:col>6</xdr:col>
      <xdr:colOff>784226</xdr:colOff>
      <xdr:row>415</xdr:row>
      <xdr:rowOff>85725</xdr:rowOff>
    </xdr:to>
    <xdr:sp macro="" textlink="">
      <xdr:nvSpPr>
        <xdr:cNvPr id="21" name="Left Arrow 20">
          <a:extLst>
            <a:ext uri="{FF2B5EF4-FFF2-40B4-BE49-F238E27FC236}">
              <a16:creationId xmlns:a16="http://schemas.microsoft.com/office/drawing/2014/main" id="{BD38538A-FFB7-1113-4A34-3410D937378E}"/>
            </a:ext>
          </a:extLst>
        </xdr:cNvPr>
        <xdr:cNvSpPr/>
      </xdr:nvSpPr>
      <xdr:spPr>
        <a:xfrm rot="5400000">
          <a:off x="13518927749" y="39563675"/>
          <a:ext cx="790575" cy="136525"/>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9</xdr:col>
      <xdr:colOff>379541</xdr:colOff>
      <xdr:row>410</xdr:row>
      <xdr:rowOff>58392</xdr:rowOff>
    </xdr:from>
    <xdr:to>
      <xdr:col>9</xdr:col>
      <xdr:colOff>545796</xdr:colOff>
      <xdr:row>411</xdr:row>
      <xdr:rowOff>41932</xdr:rowOff>
    </xdr:to>
    <xdr:sp macro="" textlink="">
      <xdr:nvSpPr>
        <xdr:cNvPr id="23" name="Left Arrow 22">
          <a:extLst>
            <a:ext uri="{FF2B5EF4-FFF2-40B4-BE49-F238E27FC236}">
              <a16:creationId xmlns:a16="http://schemas.microsoft.com/office/drawing/2014/main" id="{F96C96B5-1154-1ADB-D6E5-C129BEE2F34D}"/>
            </a:ext>
          </a:extLst>
        </xdr:cNvPr>
        <xdr:cNvSpPr/>
      </xdr:nvSpPr>
      <xdr:spPr>
        <a:xfrm rot="5400000">
          <a:off x="13544888703" y="40295617"/>
          <a:ext cx="197639" cy="166255"/>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8</xdr:col>
      <xdr:colOff>233564</xdr:colOff>
      <xdr:row>410</xdr:row>
      <xdr:rowOff>4868</xdr:rowOff>
    </xdr:from>
    <xdr:to>
      <xdr:col>8</xdr:col>
      <xdr:colOff>399819</xdr:colOff>
      <xdr:row>410</xdr:row>
      <xdr:rowOff>202507</xdr:rowOff>
    </xdr:to>
    <xdr:sp macro="" textlink="">
      <xdr:nvSpPr>
        <xdr:cNvPr id="24" name="Left Arrow 23">
          <a:extLst>
            <a:ext uri="{FF2B5EF4-FFF2-40B4-BE49-F238E27FC236}">
              <a16:creationId xmlns:a16="http://schemas.microsoft.com/office/drawing/2014/main" id="{E9DDDAE1-03A3-BB13-1360-E915E7A55E96}"/>
            </a:ext>
          </a:extLst>
        </xdr:cNvPr>
        <xdr:cNvSpPr/>
      </xdr:nvSpPr>
      <xdr:spPr>
        <a:xfrm rot="5400000">
          <a:off x="13545861883" y="40242093"/>
          <a:ext cx="197639" cy="166255"/>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3</xdr:col>
      <xdr:colOff>654741</xdr:colOff>
      <xdr:row>443</xdr:row>
      <xdr:rowOff>115155</xdr:rowOff>
    </xdr:from>
    <xdr:to>
      <xdr:col>7</xdr:col>
      <xdr:colOff>802798</xdr:colOff>
      <xdr:row>447</xdr:row>
      <xdr:rowOff>141477</xdr:rowOff>
    </xdr:to>
    <xdr:cxnSp macro="">
      <xdr:nvCxnSpPr>
        <xdr:cNvPr id="26" name="Straight Arrow Connector 25">
          <a:extLst>
            <a:ext uri="{FF2B5EF4-FFF2-40B4-BE49-F238E27FC236}">
              <a16:creationId xmlns:a16="http://schemas.microsoft.com/office/drawing/2014/main" id="{D826901E-EBB9-F31C-FF65-E5E5DED5A765}"/>
            </a:ext>
          </a:extLst>
        </xdr:cNvPr>
        <xdr:cNvCxnSpPr/>
      </xdr:nvCxnSpPr>
      <xdr:spPr>
        <a:xfrm>
          <a:off x="13523798990" y="47226891"/>
          <a:ext cx="3451373" cy="85544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34953</xdr:colOff>
      <xdr:row>472</xdr:row>
      <xdr:rowOff>194696</xdr:rowOff>
    </xdr:from>
    <xdr:to>
      <xdr:col>10</xdr:col>
      <xdr:colOff>633991</xdr:colOff>
      <xdr:row>481</xdr:row>
      <xdr:rowOff>164199</xdr:rowOff>
    </xdr:to>
    <xdr:pic>
      <xdr:nvPicPr>
        <xdr:cNvPr id="28" name="Picture 27">
          <a:extLst>
            <a:ext uri="{FF2B5EF4-FFF2-40B4-BE49-F238E27FC236}">
              <a16:creationId xmlns:a16="http://schemas.microsoft.com/office/drawing/2014/main" id="{8D7E6759-F4E7-CD6A-9595-7FABF19F0AF9}"/>
            </a:ext>
          </a:extLst>
        </xdr:cNvPr>
        <xdr:cNvPicPr>
          <a:picLocks noChangeAspect="1"/>
        </xdr:cNvPicPr>
      </xdr:nvPicPr>
      <xdr:blipFill>
        <a:blip xmlns:r="http://schemas.openxmlformats.org/officeDocument/2006/relationships" r:embed="rId6"/>
        <a:stretch>
          <a:fillRect/>
        </a:stretch>
      </xdr:blipFill>
      <xdr:spPr>
        <a:xfrm>
          <a:off x="13544719954" y="52886103"/>
          <a:ext cx="4735276" cy="1787116"/>
        </a:xfrm>
        <a:prstGeom prst="rect">
          <a:avLst/>
        </a:prstGeom>
      </xdr:spPr>
    </xdr:pic>
    <xdr:clientData/>
  </xdr:twoCellAnchor>
  <xdr:twoCellAnchor>
    <xdr:from>
      <xdr:col>8</xdr:col>
      <xdr:colOff>16387</xdr:colOff>
      <xdr:row>90</xdr:row>
      <xdr:rowOff>143387</xdr:rowOff>
    </xdr:from>
    <xdr:to>
      <xdr:col>8</xdr:col>
      <xdr:colOff>766097</xdr:colOff>
      <xdr:row>92</xdr:row>
      <xdr:rowOff>122903</xdr:rowOff>
    </xdr:to>
    <xdr:cxnSp macro="">
      <xdr:nvCxnSpPr>
        <xdr:cNvPr id="25" name="Straight Arrow Connector 24">
          <a:extLst>
            <a:ext uri="{FF2B5EF4-FFF2-40B4-BE49-F238E27FC236}">
              <a16:creationId xmlns:a16="http://schemas.microsoft.com/office/drawing/2014/main" id="{AD2038EF-0B3F-8846-607D-09910FE43855}"/>
            </a:ext>
          </a:extLst>
        </xdr:cNvPr>
        <xdr:cNvCxnSpPr/>
      </xdr:nvCxnSpPr>
      <xdr:spPr>
        <a:xfrm flipH="1" flipV="1">
          <a:off x="13551166290" y="14809839"/>
          <a:ext cx="749710" cy="38919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323645</xdr:colOff>
      <xdr:row>215</xdr:row>
      <xdr:rowOff>49162</xdr:rowOff>
    </xdr:from>
    <xdr:to>
      <xdr:col>4</xdr:col>
      <xdr:colOff>442451</xdr:colOff>
      <xdr:row>216</xdr:row>
      <xdr:rowOff>86032</xdr:rowOff>
    </xdr:to>
    <xdr:sp macro="" textlink="">
      <xdr:nvSpPr>
        <xdr:cNvPr id="27" name="Down Arrow 26">
          <a:extLst>
            <a:ext uri="{FF2B5EF4-FFF2-40B4-BE49-F238E27FC236}">
              <a16:creationId xmlns:a16="http://schemas.microsoft.com/office/drawing/2014/main" id="{D50D8160-8FB3-72BD-A71B-C15AAAE1C915}"/>
            </a:ext>
          </a:extLst>
        </xdr:cNvPr>
        <xdr:cNvSpPr/>
      </xdr:nvSpPr>
      <xdr:spPr>
        <a:xfrm>
          <a:off x="13554800129" y="40627710"/>
          <a:ext cx="118806" cy="24170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6</xdr:col>
      <xdr:colOff>352323</xdr:colOff>
      <xdr:row>215</xdr:row>
      <xdr:rowOff>45065</xdr:rowOff>
    </xdr:from>
    <xdr:to>
      <xdr:col>6</xdr:col>
      <xdr:colOff>471129</xdr:colOff>
      <xdr:row>216</xdr:row>
      <xdr:rowOff>81935</xdr:rowOff>
    </xdr:to>
    <xdr:sp macro="" textlink="">
      <xdr:nvSpPr>
        <xdr:cNvPr id="29" name="Down Arrow 28">
          <a:extLst>
            <a:ext uri="{FF2B5EF4-FFF2-40B4-BE49-F238E27FC236}">
              <a16:creationId xmlns:a16="http://schemas.microsoft.com/office/drawing/2014/main" id="{A5E1000B-2D22-84F9-69C6-4CF6A08CA83E}"/>
            </a:ext>
          </a:extLst>
        </xdr:cNvPr>
        <xdr:cNvSpPr/>
      </xdr:nvSpPr>
      <xdr:spPr>
        <a:xfrm>
          <a:off x="13553116355" y="40623613"/>
          <a:ext cx="118806" cy="24170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8</xdr:col>
      <xdr:colOff>733323</xdr:colOff>
      <xdr:row>213</xdr:row>
      <xdr:rowOff>151582</xdr:rowOff>
    </xdr:from>
    <xdr:to>
      <xdr:col>9</xdr:col>
      <xdr:colOff>147484</xdr:colOff>
      <xdr:row>214</xdr:row>
      <xdr:rowOff>65549</xdr:rowOff>
    </xdr:to>
    <xdr:sp macro="" textlink="">
      <xdr:nvSpPr>
        <xdr:cNvPr id="30" name="Down Arrow 29">
          <a:extLst>
            <a:ext uri="{FF2B5EF4-FFF2-40B4-BE49-F238E27FC236}">
              <a16:creationId xmlns:a16="http://schemas.microsoft.com/office/drawing/2014/main" id="{709F289B-B3DA-F540-9F6B-8D0A96FCB40E}"/>
            </a:ext>
          </a:extLst>
        </xdr:cNvPr>
        <xdr:cNvSpPr/>
      </xdr:nvSpPr>
      <xdr:spPr>
        <a:xfrm rot="5400000">
          <a:off x="13551018807" y="40259001"/>
          <a:ext cx="118806" cy="24170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13</xdr:col>
      <xdr:colOff>335247</xdr:colOff>
      <xdr:row>214</xdr:row>
      <xdr:rowOff>216800</xdr:rowOff>
    </xdr:from>
    <xdr:to>
      <xdr:col>13</xdr:col>
      <xdr:colOff>517090</xdr:colOff>
      <xdr:row>216</xdr:row>
      <xdr:rowOff>36542</xdr:rowOff>
    </xdr:to>
    <xdr:cxnSp macro="">
      <xdr:nvCxnSpPr>
        <xdr:cNvPr id="32" name="Straight Arrow Connector 31">
          <a:extLst>
            <a:ext uri="{FF2B5EF4-FFF2-40B4-BE49-F238E27FC236}">
              <a16:creationId xmlns:a16="http://schemas.microsoft.com/office/drawing/2014/main" id="{F65D38E0-87BF-4098-753C-512A9BD05FC2}"/>
            </a:ext>
          </a:extLst>
        </xdr:cNvPr>
        <xdr:cNvCxnSpPr/>
      </xdr:nvCxnSpPr>
      <xdr:spPr>
        <a:xfrm flipH="1">
          <a:off x="13506155392" y="44458223"/>
          <a:ext cx="181843" cy="25543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409677</xdr:colOff>
      <xdr:row>214</xdr:row>
      <xdr:rowOff>196646</xdr:rowOff>
    </xdr:from>
    <xdr:to>
      <xdr:col>12</xdr:col>
      <xdr:colOff>413773</xdr:colOff>
      <xdr:row>217</xdr:row>
      <xdr:rowOff>180258</xdr:rowOff>
    </xdr:to>
    <xdr:cxnSp macro="">
      <xdr:nvCxnSpPr>
        <xdr:cNvPr id="33" name="Straight Arrow Connector 32">
          <a:extLst>
            <a:ext uri="{FF2B5EF4-FFF2-40B4-BE49-F238E27FC236}">
              <a16:creationId xmlns:a16="http://schemas.microsoft.com/office/drawing/2014/main" id="{B34B05F5-4A9A-E6CF-68EF-550394EE2DF8}"/>
            </a:ext>
          </a:extLst>
        </xdr:cNvPr>
        <xdr:cNvCxnSpPr/>
      </xdr:nvCxnSpPr>
      <xdr:spPr>
        <a:xfrm>
          <a:off x="13548208420" y="40570356"/>
          <a:ext cx="4096" cy="59812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311355</xdr:colOff>
      <xdr:row>215</xdr:row>
      <xdr:rowOff>65549</xdr:rowOff>
    </xdr:from>
    <xdr:to>
      <xdr:col>8</xdr:col>
      <xdr:colOff>430161</xdr:colOff>
      <xdr:row>216</xdr:row>
      <xdr:rowOff>102419</xdr:rowOff>
    </xdr:to>
    <xdr:sp macro="" textlink="">
      <xdr:nvSpPr>
        <xdr:cNvPr id="35" name="Down Arrow 34">
          <a:extLst>
            <a:ext uri="{FF2B5EF4-FFF2-40B4-BE49-F238E27FC236}">
              <a16:creationId xmlns:a16="http://schemas.microsoft.com/office/drawing/2014/main" id="{D96418EF-1238-CC0C-7B39-CB3ED41B0E90}"/>
            </a:ext>
          </a:extLst>
        </xdr:cNvPr>
        <xdr:cNvSpPr/>
      </xdr:nvSpPr>
      <xdr:spPr>
        <a:xfrm>
          <a:off x="13551502226" y="40644097"/>
          <a:ext cx="118806" cy="24170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4</xdr:col>
      <xdr:colOff>262436</xdr:colOff>
      <xdr:row>39</xdr:row>
      <xdr:rowOff>107786</xdr:rowOff>
    </xdr:from>
    <xdr:to>
      <xdr:col>4</xdr:col>
      <xdr:colOff>398340</xdr:colOff>
      <xdr:row>42</xdr:row>
      <xdr:rowOff>74982</xdr:rowOff>
    </xdr:to>
    <xdr:sp macro="" textlink="">
      <xdr:nvSpPr>
        <xdr:cNvPr id="17" name="Left Brace 16">
          <a:extLst>
            <a:ext uri="{FF2B5EF4-FFF2-40B4-BE49-F238E27FC236}">
              <a16:creationId xmlns:a16="http://schemas.microsoft.com/office/drawing/2014/main" id="{42F4A6D5-3E1F-E667-2832-AD78C9390198}"/>
            </a:ext>
          </a:extLst>
        </xdr:cNvPr>
        <xdr:cNvSpPr/>
      </xdr:nvSpPr>
      <xdr:spPr>
        <a:xfrm>
          <a:off x="13509777306" y="4826937"/>
          <a:ext cx="135904" cy="571735"/>
        </a:xfrm>
        <a:prstGeom prst="lef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xdr:from>
      <xdr:col>8</xdr:col>
      <xdr:colOff>278102</xdr:colOff>
      <xdr:row>54</xdr:row>
      <xdr:rowOff>83432</xdr:rowOff>
    </xdr:from>
    <xdr:to>
      <xdr:col>9</xdr:col>
      <xdr:colOff>79669</xdr:colOff>
      <xdr:row>58</xdr:row>
      <xdr:rowOff>70295</xdr:rowOff>
    </xdr:to>
    <xdr:sp macro="" textlink="">
      <xdr:nvSpPr>
        <xdr:cNvPr id="31" name="Rounded Rectangle 30">
          <a:extLst>
            <a:ext uri="{FF2B5EF4-FFF2-40B4-BE49-F238E27FC236}">
              <a16:creationId xmlns:a16="http://schemas.microsoft.com/office/drawing/2014/main" id="{CF5AE44B-A014-B0F4-7372-A1A126959E3A}"/>
            </a:ext>
          </a:extLst>
        </xdr:cNvPr>
        <xdr:cNvSpPr/>
      </xdr:nvSpPr>
      <xdr:spPr>
        <a:xfrm>
          <a:off x="13509892959" y="11304855"/>
          <a:ext cx="626603" cy="80263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מלאי 1.1 100</a:t>
          </a:r>
          <a:endParaRPr lang="en-US" sz="1100"/>
        </a:p>
      </xdr:txBody>
    </xdr:sp>
    <xdr:clientData/>
  </xdr:twoCellAnchor>
  <xdr:twoCellAnchor>
    <xdr:from>
      <xdr:col>8</xdr:col>
      <xdr:colOff>590480</xdr:colOff>
      <xdr:row>58</xdr:row>
      <xdr:rowOff>70295</xdr:rowOff>
    </xdr:from>
    <xdr:to>
      <xdr:col>8</xdr:col>
      <xdr:colOff>591403</xdr:colOff>
      <xdr:row>60</xdr:row>
      <xdr:rowOff>131217</xdr:rowOff>
    </xdr:to>
    <xdr:cxnSp macro="">
      <xdr:nvCxnSpPr>
        <xdr:cNvPr id="36" name="Straight Arrow Connector 35">
          <a:extLst>
            <a:ext uri="{FF2B5EF4-FFF2-40B4-BE49-F238E27FC236}">
              <a16:creationId xmlns:a16="http://schemas.microsoft.com/office/drawing/2014/main" id="{DE991E0F-C9F2-1638-6A9C-8735F8497835}"/>
            </a:ext>
          </a:extLst>
        </xdr:cNvPr>
        <xdr:cNvCxnSpPr>
          <a:stCxn id="31" idx="2"/>
        </xdr:cNvCxnSpPr>
      </xdr:nvCxnSpPr>
      <xdr:spPr>
        <a:xfrm>
          <a:off x="13510206261" y="12107485"/>
          <a:ext cx="923" cy="46880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271809</xdr:colOff>
      <xdr:row>60</xdr:row>
      <xdr:rowOff>173394</xdr:rowOff>
    </xdr:from>
    <xdr:to>
      <xdr:col>9</xdr:col>
      <xdr:colOff>74983</xdr:colOff>
      <xdr:row>63</xdr:row>
      <xdr:rowOff>178081</xdr:rowOff>
    </xdr:to>
    <xdr:sp macro="" textlink="">
      <xdr:nvSpPr>
        <xdr:cNvPr id="37" name="Rounded Rectangle 36">
          <a:extLst>
            <a:ext uri="{FF2B5EF4-FFF2-40B4-BE49-F238E27FC236}">
              <a16:creationId xmlns:a16="http://schemas.microsoft.com/office/drawing/2014/main" id="{555455E7-471A-1241-BC9D-752A7D0AA67F}"/>
            </a:ext>
          </a:extLst>
        </xdr:cNvPr>
        <xdr:cNvSpPr/>
      </xdr:nvSpPr>
      <xdr:spPr>
        <a:xfrm>
          <a:off x="13505976678" y="9166494"/>
          <a:ext cx="627971" cy="6092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300</a:t>
          </a:r>
          <a:endParaRPr lang="en-US" sz="1100"/>
        </a:p>
      </xdr:txBody>
    </xdr:sp>
    <xdr:clientData/>
  </xdr:twoCellAnchor>
  <xdr:twoCellAnchor>
    <xdr:from>
      <xdr:col>8</xdr:col>
      <xdr:colOff>585794</xdr:colOff>
      <xdr:row>63</xdr:row>
      <xdr:rowOff>196826</xdr:rowOff>
    </xdr:from>
    <xdr:to>
      <xdr:col>8</xdr:col>
      <xdr:colOff>585794</xdr:colOff>
      <xdr:row>66</xdr:row>
      <xdr:rowOff>42177</xdr:rowOff>
    </xdr:to>
    <xdr:cxnSp macro="">
      <xdr:nvCxnSpPr>
        <xdr:cNvPr id="38" name="Straight Arrow Connector 37">
          <a:extLst>
            <a:ext uri="{FF2B5EF4-FFF2-40B4-BE49-F238E27FC236}">
              <a16:creationId xmlns:a16="http://schemas.microsoft.com/office/drawing/2014/main" id="{9DF3E7C9-E1CE-5B6B-A20E-1B2E78B69528}"/>
            </a:ext>
          </a:extLst>
        </xdr:cNvPr>
        <xdr:cNvCxnSpPr/>
      </xdr:nvCxnSpPr>
      <xdr:spPr>
        <a:xfrm>
          <a:off x="13506290664" y="9794464"/>
          <a:ext cx="0" cy="46394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262436</xdr:colOff>
      <xdr:row>66</xdr:row>
      <xdr:rowOff>65608</xdr:rowOff>
    </xdr:from>
    <xdr:to>
      <xdr:col>9</xdr:col>
      <xdr:colOff>644270</xdr:colOff>
      <xdr:row>69</xdr:row>
      <xdr:rowOff>56235</xdr:rowOff>
    </xdr:to>
    <xdr:sp macro="" textlink="">
      <xdr:nvSpPr>
        <xdr:cNvPr id="39" name="Rounded Rectangle 38">
          <a:extLst>
            <a:ext uri="{FF2B5EF4-FFF2-40B4-BE49-F238E27FC236}">
              <a16:creationId xmlns:a16="http://schemas.microsoft.com/office/drawing/2014/main" id="{C585E5A4-6C59-B023-97B7-B7B21781DB0E}"/>
            </a:ext>
          </a:extLst>
        </xdr:cNvPr>
        <xdr:cNvSpPr/>
      </xdr:nvSpPr>
      <xdr:spPr>
        <a:xfrm>
          <a:off x="13509328358" y="13748236"/>
          <a:ext cx="1206870" cy="616357"/>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מלאי 31.12</a:t>
          </a:r>
        </a:p>
        <a:p>
          <a:pPr algn="ctr" rtl="1"/>
          <a:r>
            <a:rPr lang="he-IL" sz="1100"/>
            <a:t>50</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721289</xdr:colOff>
      <xdr:row>30</xdr:row>
      <xdr:rowOff>8617</xdr:rowOff>
    </xdr:from>
    <xdr:to>
      <xdr:col>6</xdr:col>
      <xdr:colOff>54250</xdr:colOff>
      <xdr:row>31</xdr:row>
      <xdr:rowOff>123902</xdr:rowOff>
    </xdr:to>
    <xdr:sp macro="" textlink="">
      <xdr:nvSpPr>
        <xdr:cNvPr id="2" name="Down Arrow 1">
          <a:extLst>
            <a:ext uri="{FF2B5EF4-FFF2-40B4-BE49-F238E27FC236}">
              <a16:creationId xmlns:a16="http://schemas.microsoft.com/office/drawing/2014/main" id="{909D3D4D-23F1-444A-865B-097115D3A585}"/>
            </a:ext>
          </a:extLst>
        </xdr:cNvPr>
        <xdr:cNvSpPr/>
      </xdr:nvSpPr>
      <xdr:spPr>
        <a:xfrm>
          <a:off x="13519984750" y="4504417"/>
          <a:ext cx="158461" cy="31848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5</xdr:col>
      <xdr:colOff>734564</xdr:colOff>
      <xdr:row>34</xdr:row>
      <xdr:rowOff>66143</xdr:rowOff>
    </xdr:from>
    <xdr:to>
      <xdr:col>6</xdr:col>
      <xdr:colOff>67525</xdr:colOff>
      <xdr:row>35</xdr:row>
      <xdr:rowOff>181428</xdr:rowOff>
    </xdr:to>
    <xdr:sp macro="" textlink="">
      <xdr:nvSpPr>
        <xdr:cNvPr id="3" name="Down Arrow 2">
          <a:extLst>
            <a:ext uri="{FF2B5EF4-FFF2-40B4-BE49-F238E27FC236}">
              <a16:creationId xmlns:a16="http://schemas.microsoft.com/office/drawing/2014/main" id="{29628170-8565-A14B-99B7-CEC5046FFDED}"/>
            </a:ext>
          </a:extLst>
        </xdr:cNvPr>
        <xdr:cNvSpPr/>
      </xdr:nvSpPr>
      <xdr:spPr>
        <a:xfrm>
          <a:off x="13519971475" y="5400143"/>
          <a:ext cx="158461" cy="31848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5</xdr:col>
      <xdr:colOff>730139</xdr:colOff>
      <xdr:row>38</xdr:row>
      <xdr:rowOff>48442</xdr:rowOff>
    </xdr:from>
    <xdr:to>
      <xdr:col>6</xdr:col>
      <xdr:colOff>63100</xdr:colOff>
      <xdr:row>39</xdr:row>
      <xdr:rowOff>163727</xdr:rowOff>
    </xdr:to>
    <xdr:sp macro="" textlink="">
      <xdr:nvSpPr>
        <xdr:cNvPr id="4" name="Down Arrow 3">
          <a:extLst>
            <a:ext uri="{FF2B5EF4-FFF2-40B4-BE49-F238E27FC236}">
              <a16:creationId xmlns:a16="http://schemas.microsoft.com/office/drawing/2014/main" id="{D6CB5443-CB4E-8E4F-A60D-CE1BDCAB021B}"/>
            </a:ext>
          </a:extLst>
        </xdr:cNvPr>
        <xdr:cNvSpPr/>
      </xdr:nvSpPr>
      <xdr:spPr>
        <a:xfrm>
          <a:off x="13519975900" y="6220642"/>
          <a:ext cx="158461" cy="31848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5</xdr:col>
      <xdr:colOff>741329</xdr:colOff>
      <xdr:row>42</xdr:row>
      <xdr:rowOff>31658</xdr:rowOff>
    </xdr:from>
    <xdr:to>
      <xdr:col>6</xdr:col>
      <xdr:colOff>74290</xdr:colOff>
      <xdr:row>43</xdr:row>
      <xdr:rowOff>146943</xdr:rowOff>
    </xdr:to>
    <xdr:sp macro="" textlink="">
      <xdr:nvSpPr>
        <xdr:cNvPr id="5" name="Down Arrow 4">
          <a:extLst>
            <a:ext uri="{FF2B5EF4-FFF2-40B4-BE49-F238E27FC236}">
              <a16:creationId xmlns:a16="http://schemas.microsoft.com/office/drawing/2014/main" id="{7644648B-925D-3F47-9D83-6EF6FA10173D}"/>
            </a:ext>
          </a:extLst>
        </xdr:cNvPr>
        <xdr:cNvSpPr/>
      </xdr:nvSpPr>
      <xdr:spPr>
        <a:xfrm>
          <a:off x="13519964710" y="7042058"/>
          <a:ext cx="158461" cy="31848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7</xdr:col>
      <xdr:colOff>10642</xdr:colOff>
      <xdr:row>33</xdr:row>
      <xdr:rowOff>14190</xdr:rowOff>
    </xdr:from>
    <xdr:to>
      <xdr:col>7</xdr:col>
      <xdr:colOff>677569</xdr:colOff>
      <xdr:row>35</xdr:row>
      <xdr:rowOff>102877</xdr:rowOff>
    </xdr:to>
    <xdr:cxnSp macro="">
      <xdr:nvCxnSpPr>
        <xdr:cNvPr id="7" name="Straight Arrow Connector 6">
          <a:extLst>
            <a:ext uri="{FF2B5EF4-FFF2-40B4-BE49-F238E27FC236}">
              <a16:creationId xmlns:a16="http://schemas.microsoft.com/office/drawing/2014/main" id="{637394AB-777E-FB4F-703C-E7C2368033A9}"/>
            </a:ext>
          </a:extLst>
        </xdr:cNvPr>
        <xdr:cNvCxnSpPr/>
      </xdr:nvCxnSpPr>
      <xdr:spPr>
        <a:xfrm flipH="1">
          <a:off x="13535965084" y="5285754"/>
          <a:ext cx="666927" cy="50729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823017</xdr:colOff>
      <xdr:row>35</xdr:row>
      <xdr:rowOff>95782</xdr:rowOff>
    </xdr:from>
    <xdr:to>
      <xdr:col>7</xdr:col>
      <xdr:colOff>674022</xdr:colOff>
      <xdr:row>36</xdr:row>
      <xdr:rowOff>191564</xdr:rowOff>
    </xdr:to>
    <xdr:cxnSp macro="">
      <xdr:nvCxnSpPr>
        <xdr:cNvPr id="8" name="Straight Arrow Connector 7">
          <a:extLst>
            <a:ext uri="{FF2B5EF4-FFF2-40B4-BE49-F238E27FC236}">
              <a16:creationId xmlns:a16="http://schemas.microsoft.com/office/drawing/2014/main" id="{A072C374-85BF-2018-3998-47FDF65BC0BB}"/>
            </a:ext>
          </a:extLst>
        </xdr:cNvPr>
        <xdr:cNvCxnSpPr/>
      </xdr:nvCxnSpPr>
      <xdr:spPr>
        <a:xfrm flipH="1" flipV="1">
          <a:off x="13535968631" y="5785950"/>
          <a:ext cx="677570" cy="31217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141899</xdr:colOff>
      <xdr:row>36</xdr:row>
      <xdr:rowOff>53213</xdr:rowOff>
    </xdr:from>
    <xdr:to>
      <xdr:col>8</xdr:col>
      <xdr:colOff>145447</xdr:colOff>
      <xdr:row>41</xdr:row>
      <xdr:rowOff>0</xdr:rowOff>
    </xdr:to>
    <xdr:cxnSp macro="">
      <xdr:nvCxnSpPr>
        <xdr:cNvPr id="11" name="Straight Connector 10">
          <a:extLst>
            <a:ext uri="{FF2B5EF4-FFF2-40B4-BE49-F238E27FC236}">
              <a16:creationId xmlns:a16="http://schemas.microsoft.com/office/drawing/2014/main" id="{DF04C551-6210-90A8-1BE8-507F101A4CCA}"/>
            </a:ext>
          </a:extLst>
        </xdr:cNvPr>
        <xdr:cNvCxnSpPr/>
      </xdr:nvCxnSpPr>
      <xdr:spPr>
        <a:xfrm flipH="1">
          <a:off x="13535670642" y="5959777"/>
          <a:ext cx="3548" cy="98620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819469</xdr:colOff>
      <xdr:row>42</xdr:row>
      <xdr:rowOff>134805</xdr:rowOff>
    </xdr:from>
    <xdr:to>
      <xdr:col>7</xdr:col>
      <xdr:colOff>748519</xdr:colOff>
      <xdr:row>45</xdr:row>
      <xdr:rowOff>53213</xdr:rowOff>
    </xdr:to>
    <xdr:cxnSp macro="">
      <xdr:nvCxnSpPr>
        <xdr:cNvPr id="12" name="Straight Connector 11">
          <a:extLst>
            <a:ext uri="{FF2B5EF4-FFF2-40B4-BE49-F238E27FC236}">
              <a16:creationId xmlns:a16="http://schemas.microsoft.com/office/drawing/2014/main" id="{7A91D5F6-C4DD-A106-0BAD-8BBA7ABB27C7}"/>
            </a:ext>
          </a:extLst>
        </xdr:cNvPr>
        <xdr:cNvCxnSpPr/>
      </xdr:nvCxnSpPr>
      <xdr:spPr>
        <a:xfrm>
          <a:off x="13535894134" y="7297179"/>
          <a:ext cx="755615" cy="53921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105833</xdr:colOff>
      <xdr:row>113</xdr:row>
      <xdr:rowOff>162820</xdr:rowOff>
    </xdr:from>
    <xdr:to>
      <xdr:col>7</xdr:col>
      <xdr:colOff>326780</xdr:colOff>
      <xdr:row>117</xdr:row>
      <xdr:rowOff>155982</xdr:rowOff>
    </xdr:to>
    <xdr:pic>
      <xdr:nvPicPr>
        <xdr:cNvPr id="17" name="Picture 16">
          <a:extLst>
            <a:ext uri="{FF2B5EF4-FFF2-40B4-BE49-F238E27FC236}">
              <a16:creationId xmlns:a16="http://schemas.microsoft.com/office/drawing/2014/main" id="{F442437E-C783-D07C-6310-4F4D3396186F}"/>
            </a:ext>
          </a:extLst>
        </xdr:cNvPr>
        <xdr:cNvPicPr>
          <a:picLocks noChangeAspect="1"/>
        </xdr:cNvPicPr>
      </xdr:nvPicPr>
      <xdr:blipFill>
        <a:blip xmlns:r="http://schemas.openxmlformats.org/officeDocument/2006/relationships" r:embed="rId1"/>
        <a:stretch>
          <a:fillRect/>
        </a:stretch>
      </xdr:blipFill>
      <xdr:spPr>
        <a:xfrm>
          <a:off x="13532219277" y="22082532"/>
          <a:ext cx="1047261" cy="807264"/>
        </a:xfrm>
        <a:prstGeom prst="rect">
          <a:avLst/>
        </a:prstGeom>
      </xdr:spPr>
    </xdr:pic>
    <xdr:clientData/>
  </xdr:twoCellAnchor>
  <xdr:twoCellAnchor>
    <xdr:from>
      <xdr:col>7</xdr:col>
      <xdr:colOff>167111</xdr:colOff>
      <xdr:row>111</xdr:row>
      <xdr:rowOff>193682</xdr:rowOff>
    </xdr:from>
    <xdr:to>
      <xdr:col>10</xdr:col>
      <xdr:colOff>69419</xdr:colOff>
      <xdr:row>118</xdr:row>
      <xdr:rowOff>100061</xdr:rowOff>
    </xdr:to>
    <xdr:sp macro="" textlink="">
      <xdr:nvSpPr>
        <xdr:cNvPr id="18" name="Rounded Rectangular Callout 17">
          <a:extLst>
            <a:ext uri="{FF2B5EF4-FFF2-40B4-BE49-F238E27FC236}">
              <a16:creationId xmlns:a16="http://schemas.microsoft.com/office/drawing/2014/main" id="{3BB0EE99-D584-3238-EB7A-B08BC153D3B0}"/>
            </a:ext>
          </a:extLst>
        </xdr:cNvPr>
        <xdr:cNvSpPr/>
      </xdr:nvSpPr>
      <xdr:spPr>
        <a:xfrm>
          <a:off x="13548175127" y="21529682"/>
          <a:ext cx="2384580" cy="1334167"/>
        </a:xfrm>
        <a:prstGeom prst="wedgeRoundRectCallout">
          <a:avLst>
            <a:gd name="adj1" fmla="val 53287"/>
            <a:gd name="adj2" fmla="val 32964"/>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דיבידנד הוא חלק מסוים מהרווח שהחברה מחלקת / מתחייבת לחלק למשקיעים (לבעלי המניות). </a:t>
          </a:r>
        </a:p>
        <a:p>
          <a:pPr algn="r" rtl="1"/>
          <a:r>
            <a:rPr lang="he-IL" sz="1100"/>
            <a:t>כשנוצר רווח: ההון העצמי גדל</a:t>
          </a:r>
        </a:p>
        <a:p>
          <a:pPr algn="r" rtl="1"/>
          <a:r>
            <a:rPr lang="he-IL" sz="1100">
              <a:solidFill>
                <a:sysClr val="windowText" lastClr="000000"/>
              </a:solidFill>
            </a:rPr>
            <a:t>כשהחברה מתחייבת לחלקו החוצה (הכרזת</a:t>
          </a:r>
          <a:r>
            <a:rPr lang="he-IL" sz="1100" baseline="0">
              <a:solidFill>
                <a:sysClr val="windowText" lastClr="000000"/>
              </a:solidFill>
            </a:rPr>
            <a:t> דיבידנד) ההון העצמי </a:t>
          </a:r>
          <a:r>
            <a:rPr lang="he-IL" sz="1100" u="sng" baseline="0">
              <a:solidFill>
                <a:sysClr val="windowText" lastClr="000000"/>
              </a:solidFill>
            </a:rPr>
            <a:t>קטן</a:t>
          </a:r>
          <a:endParaRPr lang="en-US" sz="1100" u="sng">
            <a:solidFill>
              <a:sysClr val="windowText" lastClr="000000"/>
            </a:solidFill>
          </a:endParaRPr>
        </a:p>
      </xdr:txBody>
    </xdr:sp>
    <xdr:clientData/>
  </xdr:twoCellAnchor>
  <xdr:twoCellAnchor>
    <xdr:from>
      <xdr:col>6</xdr:col>
      <xdr:colOff>737419</xdr:colOff>
      <xdr:row>137</xdr:row>
      <xdr:rowOff>114710</xdr:rowOff>
    </xdr:from>
    <xdr:to>
      <xdr:col>8</xdr:col>
      <xdr:colOff>737419</xdr:colOff>
      <xdr:row>137</xdr:row>
      <xdr:rowOff>114710</xdr:rowOff>
    </xdr:to>
    <xdr:cxnSp macro="">
      <xdr:nvCxnSpPr>
        <xdr:cNvPr id="9" name="Straight Arrow Connector 8">
          <a:extLst>
            <a:ext uri="{FF2B5EF4-FFF2-40B4-BE49-F238E27FC236}">
              <a16:creationId xmlns:a16="http://schemas.microsoft.com/office/drawing/2014/main" id="{3788FFE7-3D04-1EDE-2525-32DF37E60669}"/>
            </a:ext>
          </a:extLst>
        </xdr:cNvPr>
        <xdr:cNvCxnSpPr/>
      </xdr:nvCxnSpPr>
      <xdr:spPr>
        <a:xfrm flipH="1">
          <a:off x="13551194968" y="28976484"/>
          <a:ext cx="1655097"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28946</xdr:colOff>
      <xdr:row>180</xdr:row>
      <xdr:rowOff>28946</xdr:rowOff>
    </xdr:from>
    <xdr:to>
      <xdr:col>5</xdr:col>
      <xdr:colOff>152036</xdr:colOff>
      <xdr:row>183</xdr:row>
      <xdr:rowOff>75981</xdr:rowOff>
    </xdr:to>
    <xdr:pic>
      <xdr:nvPicPr>
        <xdr:cNvPr id="2" name="Picture 1">
          <a:extLst>
            <a:ext uri="{FF2B5EF4-FFF2-40B4-BE49-F238E27FC236}">
              <a16:creationId xmlns:a16="http://schemas.microsoft.com/office/drawing/2014/main" id="{47973136-83BB-9ADF-F593-45F3087F8672}"/>
            </a:ext>
          </a:extLst>
        </xdr:cNvPr>
        <xdr:cNvPicPr>
          <a:picLocks noChangeAspect="1"/>
        </xdr:cNvPicPr>
      </xdr:nvPicPr>
      <xdr:blipFill>
        <a:blip xmlns:r="http://schemas.openxmlformats.org/officeDocument/2006/relationships" r:embed="rId1"/>
        <a:stretch>
          <a:fillRect/>
        </a:stretch>
      </xdr:blipFill>
      <xdr:spPr>
        <a:xfrm>
          <a:off x="13511949645" y="4602393"/>
          <a:ext cx="948047" cy="654901"/>
        </a:xfrm>
        <a:prstGeom prst="rect">
          <a:avLst/>
        </a:prstGeom>
      </xdr:spPr>
    </xdr:pic>
    <xdr:clientData/>
  </xdr:twoCellAnchor>
  <xdr:twoCellAnchor>
    <xdr:from>
      <xdr:col>5</xdr:col>
      <xdr:colOff>217095</xdr:colOff>
      <xdr:row>180</xdr:row>
      <xdr:rowOff>36182</xdr:rowOff>
    </xdr:from>
    <xdr:to>
      <xdr:col>8</xdr:col>
      <xdr:colOff>285841</xdr:colOff>
      <xdr:row>185</xdr:row>
      <xdr:rowOff>199002</xdr:rowOff>
    </xdr:to>
    <xdr:sp macro="" textlink="">
      <xdr:nvSpPr>
        <xdr:cNvPr id="6" name="Rectangular Callout 5">
          <a:extLst>
            <a:ext uri="{FF2B5EF4-FFF2-40B4-BE49-F238E27FC236}">
              <a16:creationId xmlns:a16="http://schemas.microsoft.com/office/drawing/2014/main" id="{9B6ABDE3-E466-253E-A16A-0B8DCFB90529}"/>
            </a:ext>
          </a:extLst>
        </xdr:cNvPr>
        <xdr:cNvSpPr/>
      </xdr:nvSpPr>
      <xdr:spPr>
        <a:xfrm>
          <a:off x="13509214330" y="4609629"/>
          <a:ext cx="2670256" cy="1175926"/>
        </a:xfrm>
        <a:prstGeom prst="wedgeRectCallout">
          <a:avLst>
            <a:gd name="adj1" fmla="val 60194"/>
            <a:gd name="adj2" fmla="val -1465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אני מציג בפניכם מקרה שבו יש פער בין היקפי השירות למזומן ששולם / התקבל בכל שנה, </a:t>
          </a:r>
        </a:p>
        <a:p>
          <a:pPr algn="r" rtl="1"/>
          <a:r>
            <a:rPr lang="he-IL" sz="1100"/>
            <a:t>לומדים</a:t>
          </a:r>
          <a:r>
            <a:rPr lang="he-IL" sz="1100" baseline="0"/>
            <a:t> - ברמה הפרקטית:</a:t>
          </a:r>
        </a:p>
        <a:p>
          <a:pPr algn="r" rtl="1"/>
          <a:r>
            <a:rPr lang="he-IL" sz="1100" baseline="0"/>
            <a:t>כיצד מבוצע הרישום הבסיסי (בהנהלת חשבונות, הבלתי מדוייק) וכיצד מתאמים / מעדכנים אותו לפני הפקת הדיווחים</a:t>
          </a:r>
          <a:endParaRPr lang="en-US" sz="1100"/>
        </a:p>
      </xdr:txBody>
    </xdr:sp>
    <xdr:clientData/>
  </xdr:twoCellAnchor>
  <xdr:twoCellAnchor>
    <xdr:from>
      <xdr:col>3</xdr:col>
      <xdr:colOff>387458</xdr:colOff>
      <xdr:row>212</xdr:row>
      <xdr:rowOff>360551</xdr:rowOff>
    </xdr:from>
    <xdr:to>
      <xdr:col>3</xdr:col>
      <xdr:colOff>398221</xdr:colOff>
      <xdr:row>213</xdr:row>
      <xdr:rowOff>425127</xdr:rowOff>
    </xdr:to>
    <xdr:cxnSp macro="">
      <xdr:nvCxnSpPr>
        <xdr:cNvPr id="11" name="Straight Arrow Connector 10">
          <a:extLst>
            <a:ext uri="{FF2B5EF4-FFF2-40B4-BE49-F238E27FC236}">
              <a16:creationId xmlns:a16="http://schemas.microsoft.com/office/drawing/2014/main" id="{3FB5139B-A625-1145-9FEF-6B0930C600A9}"/>
            </a:ext>
          </a:extLst>
        </xdr:cNvPr>
        <xdr:cNvCxnSpPr/>
      </xdr:nvCxnSpPr>
      <xdr:spPr>
        <a:xfrm>
          <a:off x="13487421525" y="12210297"/>
          <a:ext cx="10763" cy="495084"/>
        </a:xfrm>
        <a:prstGeom prst="straightConnector1">
          <a:avLst/>
        </a:prstGeom>
        <a:ln w="19050" cap="flat" cmpd="sng" algn="ctr">
          <a:solidFill>
            <a:schemeClr val="accent2"/>
          </a:solidFill>
          <a:prstDash val="solid"/>
          <a:round/>
          <a:headEnd type="arrow"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xdr:col>
      <xdr:colOff>597331</xdr:colOff>
      <xdr:row>213</xdr:row>
      <xdr:rowOff>500467</xdr:rowOff>
    </xdr:from>
    <xdr:to>
      <xdr:col>4</xdr:col>
      <xdr:colOff>608094</xdr:colOff>
      <xdr:row>214</xdr:row>
      <xdr:rowOff>333644</xdr:rowOff>
    </xdr:to>
    <xdr:cxnSp macro="">
      <xdr:nvCxnSpPr>
        <xdr:cNvPr id="13" name="Straight Arrow Connector 12">
          <a:extLst>
            <a:ext uri="{FF2B5EF4-FFF2-40B4-BE49-F238E27FC236}">
              <a16:creationId xmlns:a16="http://schemas.microsoft.com/office/drawing/2014/main" id="{A90CEFC3-F5D3-ACC0-66C6-19AA13E90E51}"/>
            </a:ext>
          </a:extLst>
        </xdr:cNvPr>
        <xdr:cNvCxnSpPr/>
      </xdr:nvCxnSpPr>
      <xdr:spPr>
        <a:xfrm>
          <a:off x="13485952415" y="12780721"/>
          <a:ext cx="10763" cy="495084"/>
        </a:xfrm>
        <a:prstGeom prst="straightConnector1">
          <a:avLst/>
        </a:prstGeom>
        <a:ln w="19050" cap="flat" cmpd="sng" algn="ctr">
          <a:solidFill>
            <a:schemeClr val="accent2"/>
          </a:solidFill>
          <a:prstDash val="solid"/>
          <a:round/>
          <a:headEnd type="arrow"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xdr:col>
      <xdr:colOff>446653</xdr:colOff>
      <xdr:row>214</xdr:row>
      <xdr:rowOff>285213</xdr:rowOff>
    </xdr:from>
    <xdr:to>
      <xdr:col>4</xdr:col>
      <xdr:colOff>457416</xdr:colOff>
      <xdr:row>215</xdr:row>
      <xdr:rowOff>322882</xdr:rowOff>
    </xdr:to>
    <xdr:cxnSp macro="">
      <xdr:nvCxnSpPr>
        <xdr:cNvPr id="14" name="Straight Arrow Connector 13">
          <a:extLst>
            <a:ext uri="{FF2B5EF4-FFF2-40B4-BE49-F238E27FC236}">
              <a16:creationId xmlns:a16="http://schemas.microsoft.com/office/drawing/2014/main" id="{BE472259-9D63-4BBA-11CE-26BB77B19755}"/>
            </a:ext>
          </a:extLst>
        </xdr:cNvPr>
        <xdr:cNvCxnSpPr/>
      </xdr:nvCxnSpPr>
      <xdr:spPr>
        <a:xfrm>
          <a:off x="13486103093" y="13227374"/>
          <a:ext cx="10763" cy="495084"/>
        </a:xfrm>
        <a:prstGeom prst="straightConnector1">
          <a:avLst/>
        </a:prstGeom>
        <a:ln w="19050" cap="flat" cmpd="sng" algn="ctr">
          <a:solidFill>
            <a:schemeClr val="accent2"/>
          </a:solidFill>
          <a:prstDash val="solid"/>
          <a:round/>
          <a:headEnd type="arrow"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xdr:col>
      <xdr:colOff>613475</xdr:colOff>
      <xdr:row>215</xdr:row>
      <xdr:rowOff>226019</xdr:rowOff>
    </xdr:from>
    <xdr:to>
      <xdr:col>4</xdr:col>
      <xdr:colOff>624238</xdr:colOff>
      <xdr:row>216</xdr:row>
      <xdr:rowOff>290594</xdr:rowOff>
    </xdr:to>
    <xdr:cxnSp macro="">
      <xdr:nvCxnSpPr>
        <xdr:cNvPr id="15" name="Straight Arrow Connector 14">
          <a:extLst>
            <a:ext uri="{FF2B5EF4-FFF2-40B4-BE49-F238E27FC236}">
              <a16:creationId xmlns:a16="http://schemas.microsoft.com/office/drawing/2014/main" id="{B9560D40-3F1D-AD5D-2E83-04D72B2E9508}"/>
            </a:ext>
          </a:extLst>
        </xdr:cNvPr>
        <xdr:cNvCxnSpPr/>
      </xdr:nvCxnSpPr>
      <xdr:spPr>
        <a:xfrm>
          <a:off x="13485936271" y="13625595"/>
          <a:ext cx="10763" cy="495084"/>
        </a:xfrm>
        <a:prstGeom prst="straightConnector1">
          <a:avLst/>
        </a:prstGeom>
        <a:ln w="19050" cap="flat" cmpd="sng" algn="ctr">
          <a:solidFill>
            <a:schemeClr val="accent2"/>
          </a:solidFill>
          <a:prstDash val="solid"/>
          <a:round/>
          <a:headEnd type="arrow"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editAs="oneCell">
    <xdr:from>
      <xdr:col>7</xdr:col>
      <xdr:colOff>334565</xdr:colOff>
      <xdr:row>205</xdr:row>
      <xdr:rowOff>150677</xdr:rowOff>
    </xdr:from>
    <xdr:to>
      <xdr:col>10</xdr:col>
      <xdr:colOff>240756</xdr:colOff>
      <xdr:row>217</xdr:row>
      <xdr:rowOff>64819</xdr:rowOff>
    </xdr:to>
    <xdr:pic>
      <xdr:nvPicPr>
        <xdr:cNvPr id="16" name="Picture 15">
          <a:extLst>
            <a:ext uri="{FF2B5EF4-FFF2-40B4-BE49-F238E27FC236}">
              <a16:creationId xmlns:a16="http://schemas.microsoft.com/office/drawing/2014/main" id="{6F08EBB1-741D-FB0D-D995-BB1E6C43E151}"/>
            </a:ext>
          </a:extLst>
        </xdr:cNvPr>
        <xdr:cNvPicPr>
          <a:picLocks noChangeAspect="1"/>
        </xdr:cNvPicPr>
      </xdr:nvPicPr>
      <xdr:blipFill>
        <a:blip xmlns:r="http://schemas.openxmlformats.org/officeDocument/2006/relationships" r:embed="rId2"/>
        <a:stretch>
          <a:fillRect/>
        </a:stretch>
      </xdr:blipFill>
      <xdr:spPr>
        <a:xfrm>
          <a:off x="13481048062" y="10558219"/>
          <a:ext cx="2578687" cy="3847455"/>
        </a:xfrm>
        <a:prstGeom prst="rect">
          <a:avLst/>
        </a:prstGeom>
      </xdr:spPr>
    </xdr:pic>
    <xdr:clientData/>
  </xdr:twoCellAnchor>
  <xdr:twoCellAnchor editAs="oneCell">
    <xdr:from>
      <xdr:col>0</xdr:col>
      <xdr:colOff>201707</xdr:colOff>
      <xdr:row>18</xdr:row>
      <xdr:rowOff>85912</xdr:rowOff>
    </xdr:from>
    <xdr:to>
      <xdr:col>2</xdr:col>
      <xdr:colOff>769471</xdr:colOff>
      <xdr:row>25</xdr:row>
      <xdr:rowOff>168328</xdr:rowOff>
    </xdr:to>
    <xdr:pic>
      <xdr:nvPicPr>
        <xdr:cNvPr id="3" name="Picture 2">
          <a:extLst>
            <a:ext uri="{FF2B5EF4-FFF2-40B4-BE49-F238E27FC236}">
              <a16:creationId xmlns:a16="http://schemas.microsoft.com/office/drawing/2014/main" id="{2632B67F-5707-095C-29EC-1DD816C26A66}"/>
            </a:ext>
          </a:extLst>
        </xdr:cNvPr>
        <xdr:cNvPicPr>
          <a:picLocks noChangeAspect="1"/>
        </xdr:cNvPicPr>
      </xdr:nvPicPr>
      <xdr:blipFill>
        <a:blip xmlns:r="http://schemas.openxmlformats.org/officeDocument/2006/relationships" r:embed="rId3"/>
        <a:stretch>
          <a:fillRect/>
        </a:stretch>
      </xdr:blipFill>
      <xdr:spPr>
        <a:xfrm>
          <a:off x="13523449323" y="4034118"/>
          <a:ext cx="2334558" cy="1494357"/>
        </a:xfrm>
        <a:prstGeom prst="rect">
          <a:avLst/>
        </a:prstGeom>
      </xdr:spPr>
    </xdr:pic>
    <xdr:clientData/>
  </xdr:twoCellAnchor>
  <xdr:twoCellAnchor editAs="oneCell">
    <xdr:from>
      <xdr:col>4</xdr:col>
      <xdr:colOff>385234</xdr:colOff>
      <xdr:row>18</xdr:row>
      <xdr:rowOff>93133</xdr:rowOff>
    </xdr:from>
    <xdr:to>
      <xdr:col>7</xdr:col>
      <xdr:colOff>201215</xdr:colOff>
      <xdr:row>26</xdr:row>
      <xdr:rowOff>97366</xdr:rowOff>
    </xdr:to>
    <xdr:pic>
      <xdr:nvPicPr>
        <xdr:cNvPr id="4" name="Picture 3">
          <a:extLst>
            <a:ext uri="{FF2B5EF4-FFF2-40B4-BE49-F238E27FC236}">
              <a16:creationId xmlns:a16="http://schemas.microsoft.com/office/drawing/2014/main" id="{5CFC6CDD-8A60-3E8D-4E70-9E03F48C08C4}"/>
            </a:ext>
          </a:extLst>
        </xdr:cNvPr>
        <xdr:cNvPicPr>
          <a:picLocks noChangeAspect="1"/>
        </xdr:cNvPicPr>
      </xdr:nvPicPr>
      <xdr:blipFill>
        <a:blip xmlns:r="http://schemas.openxmlformats.org/officeDocument/2006/relationships" r:embed="rId4"/>
        <a:stretch>
          <a:fillRect/>
        </a:stretch>
      </xdr:blipFill>
      <xdr:spPr>
        <a:xfrm>
          <a:off x="13519215485" y="4068233"/>
          <a:ext cx="2419481" cy="1629833"/>
        </a:xfrm>
        <a:prstGeom prst="rect">
          <a:avLst/>
        </a:prstGeom>
      </xdr:spPr>
    </xdr:pic>
    <xdr:clientData/>
  </xdr:twoCellAnchor>
  <xdr:twoCellAnchor>
    <xdr:from>
      <xdr:col>3</xdr:col>
      <xdr:colOff>46567</xdr:colOff>
      <xdr:row>21</xdr:row>
      <xdr:rowOff>88900</xdr:rowOff>
    </xdr:from>
    <xdr:to>
      <xdr:col>4</xdr:col>
      <xdr:colOff>207433</xdr:colOff>
      <xdr:row>23</xdr:row>
      <xdr:rowOff>148167</xdr:rowOff>
    </xdr:to>
    <xdr:sp macro="" textlink="">
      <xdr:nvSpPr>
        <xdr:cNvPr id="5" name="Left Arrow 4">
          <a:extLst>
            <a:ext uri="{FF2B5EF4-FFF2-40B4-BE49-F238E27FC236}">
              <a16:creationId xmlns:a16="http://schemas.microsoft.com/office/drawing/2014/main" id="{704BE0EE-24A4-7966-DC33-D82F762CAA50}"/>
            </a:ext>
          </a:extLst>
        </xdr:cNvPr>
        <xdr:cNvSpPr/>
      </xdr:nvSpPr>
      <xdr:spPr>
        <a:xfrm>
          <a:off x="13521812767" y="4673600"/>
          <a:ext cx="1418166" cy="465667"/>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7</xdr:col>
      <xdr:colOff>334434</xdr:colOff>
      <xdr:row>21</xdr:row>
      <xdr:rowOff>33867</xdr:rowOff>
    </xdr:from>
    <xdr:to>
      <xdr:col>8</xdr:col>
      <xdr:colOff>952500</xdr:colOff>
      <xdr:row>23</xdr:row>
      <xdr:rowOff>93134</xdr:rowOff>
    </xdr:to>
    <xdr:sp macro="" textlink="">
      <xdr:nvSpPr>
        <xdr:cNvPr id="7" name="Left Arrow 6">
          <a:extLst>
            <a:ext uri="{FF2B5EF4-FFF2-40B4-BE49-F238E27FC236}">
              <a16:creationId xmlns:a16="http://schemas.microsoft.com/office/drawing/2014/main" id="{313ED15B-31CD-85F8-F0B2-5AE8FED94729}"/>
            </a:ext>
          </a:extLst>
        </xdr:cNvPr>
        <xdr:cNvSpPr/>
      </xdr:nvSpPr>
      <xdr:spPr>
        <a:xfrm>
          <a:off x="13517664100" y="4618567"/>
          <a:ext cx="1418166" cy="465667"/>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editAs="oneCell">
    <xdr:from>
      <xdr:col>9</xdr:col>
      <xdr:colOff>0</xdr:colOff>
      <xdr:row>20</xdr:row>
      <xdr:rowOff>0</xdr:rowOff>
    </xdr:from>
    <xdr:to>
      <xdr:col>10</xdr:col>
      <xdr:colOff>647700</xdr:colOff>
      <xdr:row>26</xdr:row>
      <xdr:rowOff>38100</xdr:rowOff>
    </xdr:to>
    <xdr:pic>
      <xdr:nvPicPr>
        <xdr:cNvPr id="8" name="Picture 7">
          <a:extLst>
            <a:ext uri="{FF2B5EF4-FFF2-40B4-BE49-F238E27FC236}">
              <a16:creationId xmlns:a16="http://schemas.microsoft.com/office/drawing/2014/main" id="{6DC7B04F-07D4-B34D-0851-98362CF56A89}"/>
            </a:ext>
          </a:extLst>
        </xdr:cNvPr>
        <xdr:cNvPicPr>
          <a:picLocks noChangeAspect="1"/>
        </xdr:cNvPicPr>
      </xdr:nvPicPr>
      <xdr:blipFill>
        <a:blip xmlns:r="http://schemas.openxmlformats.org/officeDocument/2006/relationships" r:embed="rId5"/>
        <a:stretch>
          <a:fillRect/>
        </a:stretch>
      </xdr:blipFill>
      <xdr:spPr>
        <a:xfrm>
          <a:off x="13516089300" y="4381500"/>
          <a:ext cx="1473200" cy="1257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54259</xdr:colOff>
      <xdr:row>57</xdr:row>
      <xdr:rowOff>10902</xdr:rowOff>
    </xdr:from>
    <xdr:to>
      <xdr:col>7</xdr:col>
      <xdr:colOff>412780</xdr:colOff>
      <xdr:row>70</xdr:row>
      <xdr:rowOff>48780</xdr:rowOff>
    </xdr:to>
    <xdr:pic>
      <xdr:nvPicPr>
        <xdr:cNvPr id="22" name="Picture 21">
          <a:extLst>
            <a:ext uri="{FF2B5EF4-FFF2-40B4-BE49-F238E27FC236}">
              <a16:creationId xmlns:a16="http://schemas.microsoft.com/office/drawing/2014/main" id="{B348EDB7-E9BE-7748-E56B-35C3A56BB5D1}"/>
            </a:ext>
          </a:extLst>
        </xdr:cNvPr>
        <xdr:cNvPicPr>
          <a:picLocks noChangeAspect="1"/>
        </xdr:cNvPicPr>
      </xdr:nvPicPr>
      <xdr:blipFill>
        <a:blip xmlns:r="http://schemas.openxmlformats.org/officeDocument/2006/relationships" r:embed="rId1"/>
        <a:stretch>
          <a:fillRect/>
        </a:stretch>
      </xdr:blipFill>
      <xdr:spPr>
        <a:xfrm>
          <a:off x="13478631383" y="12907125"/>
          <a:ext cx="2135431" cy="2659638"/>
        </a:xfrm>
        <a:prstGeom prst="rect">
          <a:avLst/>
        </a:prstGeom>
      </xdr:spPr>
    </xdr:pic>
    <xdr:clientData/>
  </xdr:twoCellAnchor>
  <xdr:twoCellAnchor editAs="oneCell">
    <xdr:from>
      <xdr:col>5</xdr:col>
      <xdr:colOff>417474</xdr:colOff>
      <xdr:row>204</xdr:row>
      <xdr:rowOff>14749</xdr:rowOff>
    </xdr:from>
    <xdr:to>
      <xdr:col>9</xdr:col>
      <xdr:colOff>299358</xdr:colOff>
      <xdr:row>214</xdr:row>
      <xdr:rowOff>195577</xdr:rowOff>
    </xdr:to>
    <xdr:pic>
      <xdr:nvPicPr>
        <xdr:cNvPr id="2" name="Picture 1" descr="How to Boil Hot Dogs - Gourmet Hot Dogs on the Stovetop">
          <a:extLst>
            <a:ext uri="{FF2B5EF4-FFF2-40B4-BE49-F238E27FC236}">
              <a16:creationId xmlns:a16="http://schemas.microsoft.com/office/drawing/2014/main" id="{3C747CEE-30CD-4672-A91C-8F520A8FC21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528057043" y="27423019"/>
          <a:ext cx="3313960" cy="2202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685227</xdr:colOff>
      <xdr:row>49</xdr:row>
      <xdr:rowOff>130815</xdr:rowOff>
    </xdr:from>
    <xdr:to>
      <xdr:col>6</xdr:col>
      <xdr:colOff>599571</xdr:colOff>
      <xdr:row>50</xdr:row>
      <xdr:rowOff>201674</xdr:rowOff>
    </xdr:to>
    <xdr:cxnSp macro="">
      <xdr:nvCxnSpPr>
        <xdr:cNvPr id="5" name="Straight Arrow Connector 4">
          <a:extLst>
            <a:ext uri="{FF2B5EF4-FFF2-40B4-BE49-F238E27FC236}">
              <a16:creationId xmlns:a16="http://schemas.microsoft.com/office/drawing/2014/main" id="{DCC657FC-F937-EF4A-24C8-C3F5920BDE92}"/>
            </a:ext>
          </a:extLst>
        </xdr:cNvPr>
        <xdr:cNvCxnSpPr/>
      </xdr:nvCxnSpPr>
      <xdr:spPr>
        <a:xfrm flipH="1" flipV="1">
          <a:off x="13479398455" y="11413648"/>
          <a:ext cx="737391" cy="272532"/>
        </a:xfrm>
        <a:prstGeom prst="straightConnector1">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5</xdr:col>
      <xdr:colOff>714034</xdr:colOff>
      <xdr:row>51</xdr:row>
      <xdr:rowOff>103562</xdr:rowOff>
    </xdr:from>
    <xdr:to>
      <xdr:col>6</xdr:col>
      <xdr:colOff>545065</xdr:colOff>
      <xdr:row>52</xdr:row>
      <xdr:rowOff>152618</xdr:rowOff>
    </xdr:to>
    <xdr:cxnSp macro="">
      <xdr:nvCxnSpPr>
        <xdr:cNvPr id="17" name="Straight Arrow Connector 16">
          <a:extLst>
            <a:ext uri="{FF2B5EF4-FFF2-40B4-BE49-F238E27FC236}">
              <a16:creationId xmlns:a16="http://schemas.microsoft.com/office/drawing/2014/main" id="{0C597873-E391-EF9A-9F32-8FD02EEDE88D}"/>
            </a:ext>
          </a:extLst>
        </xdr:cNvPr>
        <xdr:cNvCxnSpPr/>
      </xdr:nvCxnSpPr>
      <xdr:spPr>
        <a:xfrm flipH="1">
          <a:off x="13479452961" y="11789742"/>
          <a:ext cx="654078" cy="250730"/>
        </a:xfrm>
        <a:prstGeom prst="straightConnector1">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0</xdr:col>
      <xdr:colOff>669139</xdr:colOff>
      <xdr:row>330</xdr:row>
      <xdr:rowOff>136559</xdr:rowOff>
    </xdr:from>
    <xdr:to>
      <xdr:col>1</xdr:col>
      <xdr:colOff>710107</xdr:colOff>
      <xdr:row>332</xdr:row>
      <xdr:rowOff>27311</xdr:rowOff>
    </xdr:to>
    <xdr:sp macro="" textlink="">
      <xdr:nvSpPr>
        <xdr:cNvPr id="32" name="Rectangular Callout 31">
          <a:extLst>
            <a:ext uri="{FF2B5EF4-FFF2-40B4-BE49-F238E27FC236}">
              <a16:creationId xmlns:a16="http://schemas.microsoft.com/office/drawing/2014/main" id="{9C85A68D-CB15-0DEC-3A58-980E0E0D793C}"/>
            </a:ext>
          </a:extLst>
        </xdr:cNvPr>
        <xdr:cNvSpPr/>
      </xdr:nvSpPr>
      <xdr:spPr>
        <a:xfrm>
          <a:off x="13498311076" y="51373548"/>
          <a:ext cx="864875" cy="300430"/>
        </a:xfrm>
        <a:prstGeom prst="wedgeRectCallout">
          <a:avLst>
            <a:gd name="adj1" fmla="val -21199"/>
            <a:gd name="adj2" fmla="val -8522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תשובה ל-א</a:t>
          </a:r>
          <a:endParaRPr lang="en-US" sz="1100"/>
        </a:p>
      </xdr:txBody>
    </xdr:sp>
    <xdr:clientData/>
  </xdr:twoCellAnchor>
  <xdr:twoCellAnchor>
    <xdr:from>
      <xdr:col>1</xdr:col>
      <xdr:colOff>937705</xdr:colOff>
      <xdr:row>330</xdr:row>
      <xdr:rowOff>150215</xdr:rowOff>
    </xdr:from>
    <xdr:to>
      <xdr:col>2</xdr:col>
      <xdr:colOff>787491</xdr:colOff>
      <xdr:row>332</xdr:row>
      <xdr:rowOff>40967</xdr:rowOff>
    </xdr:to>
    <xdr:sp macro="" textlink="">
      <xdr:nvSpPr>
        <xdr:cNvPr id="34" name="Rectangular Callout 33">
          <a:extLst>
            <a:ext uri="{FF2B5EF4-FFF2-40B4-BE49-F238E27FC236}">
              <a16:creationId xmlns:a16="http://schemas.microsoft.com/office/drawing/2014/main" id="{1E3D2420-D116-DCA4-45B2-5E41EB92EFF1}"/>
            </a:ext>
          </a:extLst>
        </xdr:cNvPr>
        <xdr:cNvSpPr/>
      </xdr:nvSpPr>
      <xdr:spPr>
        <a:xfrm>
          <a:off x="13497218603" y="51409964"/>
          <a:ext cx="864875" cy="300430"/>
        </a:xfrm>
        <a:prstGeom prst="wedgeRectCallout">
          <a:avLst>
            <a:gd name="adj1" fmla="val -21199"/>
            <a:gd name="adj2" fmla="val -8522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תשובה ל-ב</a:t>
          </a:r>
          <a:endParaRPr lang="en-US" sz="1100"/>
        </a:p>
      </xdr:txBody>
    </xdr:sp>
    <xdr:clientData/>
  </xdr:twoCellAnchor>
  <xdr:twoCellAnchor>
    <xdr:from>
      <xdr:col>3</xdr:col>
      <xdr:colOff>127454</xdr:colOff>
      <xdr:row>330</xdr:row>
      <xdr:rowOff>132007</xdr:rowOff>
    </xdr:from>
    <xdr:to>
      <xdr:col>3</xdr:col>
      <xdr:colOff>992329</xdr:colOff>
      <xdr:row>332</xdr:row>
      <xdr:rowOff>22759</xdr:rowOff>
    </xdr:to>
    <xdr:sp macro="" textlink="">
      <xdr:nvSpPr>
        <xdr:cNvPr id="37" name="Rectangular Callout 36">
          <a:extLst>
            <a:ext uri="{FF2B5EF4-FFF2-40B4-BE49-F238E27FC236}">
              <a16:creationId xmlns:a16="http://schemas.microsoft.com/office/drawing/2014/main" id="{995F9056-8E3B-D65D-D336-CC3597C1DF42}"/>
            </a:ext>
          </a:extLst>
        </xdr:cNvPr>
        <xdr:cNvSpPr/>
      </xdr:nvSpPr>
      <xdr:spPr>
        <a:xfrm>
          <a:off x="13496076058" y="51391756"/>
          <a:ext cx="864875" cy="300430"/>
        </a:xfrm>
        <a:prstGeom prst="wedgeRectCallout">
          <a:avLst>
            <a:gd name="adj1" fmla="val -21199"/>
            <a:gd name="adj2" fmla="val -8522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תשובה ל-ג</a:t>
          </a:r>
          <a:endParaRPr lang="en-US" sz="1100"/>
        </a:p>
      </xdr:txBody>
    </xdr:sp>
    <xdr:clientData/>
  </xdr:twoCellAnchor>
  <xdr:twoCellAnchor>
    <xdr:from>
      <xdr:col>5</xdr:col>
      <xdr:colOff>555339</xdr:colOff>
      <xdr:row>330</xdr:row>
      <xdr:rowOff>113799</xdr:rowOff>
    </xdr:from>
    <xdr:to>
      <xdr:col>6</xdr:col>
      <xdr:colOff>596307</xdr:colOff>
      <xdr:row>332</xdr:row>
      <xdr:rowOff>4551</xdr:rowOff>
    </xdr:to>
    <xdr:sp macro="" textlink="">
      <xdr:nvSpPr>
        <xdr:cNvPr id="38" name="Rectangular Callout 37">
          <a:extLst>
            <a:ext uri="{FF2B5EF4-FFF2-40B4-BE49-F238E27FC236}">
              <a16:creationId xmlns:a16="http://schemas.microsoft.com/office/drawing/2014/main" id="{A651D2EE-5B31-F4B2-BBAB-E7E50EAB9A4A}"/>
            </a:ext>
          </a:extLst>
        </xdr:cNvPr>
        <xdr:cNvSpPr/>
      </xdr:nvSpPr>
      <xdr:spPr>
        <a:xfrm>
          <a:off x="13493476883" y="51373548"/>
          <a:ext cx="864875" cy="300430"/>
        </a:xfrm>
        <a:prstGeom prst="wedgeRectCallout">
          <a:avLst>
            <a:gd name="adj1" fmla="val -21199"/>
            <a:gd name="adj2" fmla="val -8522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תשובה ל-ד</a:t>
          </a:r>
          <a:endParaRPr lang="en-US" sz="1100"/>
        </a:p>
      </xdr:txBody>
    </xdr:sp>
    <xdr:clientData/>
  </xdr:twoCellAnchor>
  <xdr:twoCellAnchor>
    <xdr:from>
      <xdr:col>0</xdr:col>
      <xdr:colOff>0</xdr:colOff>
      <xdr:row>341</xdr:row>
      <xdr:rowOff>168423</xdr:rowOff>
    </xdr:from>
    <xdr:to>
      <xdr:col>7</xdr:col>
      <xdr:colOff>568996</xdr:colOff>
      <xdr:row>352</xdr:row>
      <xdr:rowOff>154767</xdr:rowOff>
    </xdr:to>
    <xdr:sp macro="" textlink="">
      <xdr:nvSpPr>
        <xdr:cNvPr id="39" name="TextBox 38">
          <a:extLst>
            <a:ext uri="{FF2B5EF4-FFF2-40B4-BE49-F238E27FC236}">
              <a16:creationId xmlns:a16="http://schemas.microsoft.com/office/drawing/2014/main" id="{AC0CC784-3A7F-CD35-A71F-DF0E24FB5859}"/>
            </a:ext>
          </a:extLst>
        </xdr:cNvPr>
        <xdr:cNvSpPr txBox="1"/>
      </xdr:nvSpPr>
      <xdr:spPr>
        <a:xfrm>
          <a:off x="13492552832" y="53681398"/>
          <a:ext cx="7292258" cy="22395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1"/>
          <a:r>
            <a:rPr lang="he-IL" sz="1100" b="1">
              <a:solidFill>
                <a:schemeClr val="dk1"/>
              </a:solidFill>
              <a:effectLst/>
              <a:latin typeface="David" panose="020E0502060401010101" pitchFamily="34" charset="-79"/>
              <a:ea typeface="+mn-ea"/>
              <a:cs typeface="David" panose="020E0502060401010101" pitchFamily="34" charset="-79"/>
            </a:rPr>
            <a:t>שאלה 1 (12.5 נק׳)</a:t>
          </a:r>
          <a:endParaRPr lang="en-IL" sz="1100">
            <a:solidFill>
              <a:schemeClr val="dk1"/>
            </a:solidFill>
            <a:effectLst/>
            <a:latin typeface="David" panose="020E0502060401010101" pitchFamily="34" charset="-79"/>
            <a:ea typeface="+mn-ea"/>
            <a:cs typeface="David" panose="020E0502060401010101" pitchFamily="34" charset="-79"/>
          </a:endParaRPr>
        </a:p>
        <a:p>
          <a:pPr rtl="1"/>
          <a:r>
            <a:rPr lang="he-IL" sz="1100">
              <a:solidFill>
                <a:schemeClr val="dk1"/>
              </a:solidFill>
              <a:effectLst/>
              <a:latin typeface="David" panose="020E0502060401010101" pitchFamily="34" charset="-79"/>
              <a:ea typeface="+mn-ea"/>
              <a:cs typeface="David" panose="020E0502060401010101" pitchFamily="34" charset="-79"/>
            </a:rPr>
            <a:t>חברת ״קונדור נקניק איכותי לחיים״ בע״מ (להלן: ״החברה״) עוסקת בייעוץ. לאחרונה התקשרה החברה בפרויקט במסגרתו תספק שירותי ייעוץ בתחום חימום הנקניק בהיקפים ובתנאי התשלום כדלקמן:</a:t>
          </a:r>
          <a:endParaRPr lang="en-IL" sz="1100">
            <a:solidFill>
              <a:schemeClr val="dk1"/>
            </a:solidFill>
            <a:effectLst/>
            <a:latin typeface="David" panose="020E0502060401010101" pitchFamily="34" charset="-79"/>
            <a:ea typeface="+mn-ea"/>
            <a:cs typeface="David" panose="020E0502060401010101" pitchFamily="34" charset="-79"/>
          </a:endParaRPr>
        </a:p>
        <a:p>
          <a:pPr rtl="1"/>
          <a:r>
            <a:rPr lang="he-IL" sz="1100">
              <a:solidFill>
                <a:schemeClr val="dk1"/>
              </a:solidFill>
              <a:effectLst/>
              <a:latin typeface="David" panose="020E0502060401010101" pitchFamily="34" charset="-79"/>
              <a:ea typeface="+mn-ea"/>
              <a:cs typeface="David" panose="020E0502060401010101" pitchFamily="34" charset="-79"/>
            </a:rPr>
            <a:t> </a:t>
          </a:r>
          <a:endParaRPr lang="en-IL" sz="1100">
            <a:solidFill>
              <a:schemeClr val="dk1"/>
            </a:solidFill>
            <a:effectLst/>
            <a:latin typeface="David" panose="020E0502060401010101" pitchFamily="34" charset="-79"/>
            <a:ea typeface="+mn-ea"/>
            <a:cs typeface="David" panose="020E0502060401010101" pitchFamily="34" charset="-79"/>
          </a:endParaRPr>
        </a:p>
        <a:p>
          <a:pPr rtl="1"/>
          <a:r>
            <a:rPr lang="he-IL" sz="1100">
              <a:solidFill>
                <a:schemeClr val="dk1"/>
              </a:solidFill>
              <a:effectLst/>
              <a:latin typeface="David" panose="020E0502060401010101" pitchFamily="34" charset="-79"/>
              <a:ea typeface="+mn-ea"/>
              <a:cs typeface="David" panose="020E0502060401010101" pitchFamily="34" charset="-79"/>
            </a:rPr>
            <a:t>בשנת 2020, תספק שירות בשווי 100,000 ש״ח ותקבל תשלום בסך 80,000 ש״ח.</a:t>
          </a:r>
          <a:endParaRPr lang="en-IL" sz="1100">
            <a:solidFill>
              <a:schemeClr val="dk1"/>
            </a:solidFill>
            <a:effectLst/>
            <a:latin typeface="David" panose="020E0502060401010101" pitchFamily="34" charset="-79"/>
            <a:ea typeface="+mn-ea"/>
            <a:cs typeface="David" panose="020E0502060401010101" pitchFamily="34" charset="-79"/>
          </a:endParaRPr>
        </a:p>
        <a:p>
          <a:pPr rtl="1"/>
          <a:r>
            <a:rPr lang="he-IL" sz="1100">
              <a:solidFill>
                <a:schemeClr val="dk1"/>
              </a:solidFill>
              <a:effectLst/>
              <a:latin typeface="David" panose="020E0502060401010101" pitchFamily="34" charset="-79"/>
              <a:ea typeface="+mn-ea"/>
              <a:cs typeface="David" panose="020E0502060401010101" pitchFamily="34" charset="-79"/>
            </a:rPr>
            <a:t>בשנת 2021, תספק שירות בשווי 200,000 ש״ח ותקבל תשלום בסך 170,000 ש״ח.</a:t>
          </a:r>
          <a:endParaRPr lang="en-IL" sz="1100">
            <a:solidFill>
              <a:schemeClr val="dk1"/>
            </a:solidFill>
            <a:effectLst/>
            <a:latin typeface="David" panose="020E0502060401010101" pitchFamily="34" charset="-79"/>
            <a:ea typeface="+mn-ea"/>
            <a:cs typeface="David" panose="020E0502060401010101" pitchFamily="34" charset="-79"/>
          </a:endParaRPr>
        </a:p>
        <a:p>
          <a:pPr rtl="1"/>
          <a:r>
            <a:rPr lang="he-IL" sz="1100">
              <a:solidFill>
                <a:schemeClr val="dk1"/>
              </a:solidFill>
              <a:effectLst/>
              <a:latin typeface="David" panose="020E0502060401010101" pitchFamily="34" charset="-79"/>
              <a:ea typeface="+mn-ea"/>
              <a:cs typeface="David" panose="020E0502060401010101" pitchFamily="34" charset="-79"/>
            </a:rPr>
            <a:t>בשנת 2022, תספק שירות בשווי 300,000 ש״ח ותקבל תשלום בסך 600,000 ש״ח.</a:t>
          </a:r>
          <a:endParaRPr lang="en-IL" sz="1100">
            <a:solidFill>
              <a:schemeClr val="dk1"/>
            </a:solidFill>
            <a:effectLst/>
            <a:latin typeface="David" panose="020E0502060401010101" pitchFamily="34" charset="-79"/>
            <a:ea typeface="+mn-ea"/>
            <a:cs typeface="David" panose="020E0502060401010101" pitchFamily="34" charset="-79"/>
          </a:endParaRPr>
        </a:p>
        <a:p>
          <a:pPr rtl="1"/>
          <a:r>
            <a:rPr lang="he-IL" sz="1100">
              <a:solidFill>
                <a:schemeClr val="dk1"/>
              </a:solidFill>
              <a:effectLst/>
              <a:latin typeface="David" panose="020E0502060401010101" pitchFamily="34" charset="-79"/>
              <a:ea typeface="+mn-ea"/>
              <a:cs typeface="David" panose="020E0502060401010101" pitchFamily="34" charset="-79"/>
            </a:rPr>
            <a:t>בשנת 2023, תספק שירות בשווי 400,000 ש״ח ותקבל את שארית התשלום המגיעה לה, ובמועד זה יסתיים התוקף של הסכם השירות.</a:t>
          </a:r>
          <a:endParaRPr lang="en-IL" sz="1100">
            <a:solidFill>
              <a:schemeClr val="dk1"/>
            </a:solidFill>
            <a:effectLst/>
            <a:latin typeface="David" panose="020E0502060401010101" pitchFamily="34" charset="-79"/>
            <a:ea typeface="+mn-ea"/>
            <a:cs typeface="David" panose="020E0502060401010101" pitchFamily="34" charset="-79"/>
          </a:endParaRPr>
        </a:p>
        <a:p>
          <a:pPr rtl="1"/>
          <a:r>
            <a:rPr lang="he-IL" sz="1100">
              <a:solidFill>
                <a:schemeClr val="dk1"/>
              </a:solidFill>
              <a:effectLst/>
              <a:latin typeface="David" panose="020E0502060401010101" pitchFamily="34" charset="-79"/>
              <a:ea typeface="+mn-ea"/>
              <a:cs typeface="David" panose="020E0502060401010101" pitchFamily="34" charset="-79"/>
            </a:rPr>
            <a:t> </a:t>
          </a:r>
          <a:endParaRPr lang="en-IL" sz="1100">
            <a:solidFill>
              <a:schemeClr val="dk1"/>
            </a:solidFill>
            <a:effectLst/>
            <a:latin typeface="David" panose="020E0502060401010101" pitchFamily="34" charset="-79"/>
            <a:ea typeface="+mn-ea"/>
            <a:cs typeface="David" panose="020E0502060401010101" pitchFamily="34" charset="-79"/>
          </a:endParaRPr>
        </a:p>
        <a:p>
          <a:pPr rtl="1"/>
          <a:r>
            <a:rPr lang="he-IL" sz="1100">
              <a:solidFill>
                <a:schemeClr val="dk1"/>
              </a:solidFill>
              <a:effectLst/>
              <a:latin typeface="David" panose="020E0502060401010101" pitchFamily="34" charset="-79"/>
              <a:ea typeface="+mn-ea"/>
              <a:cs typeface="David" panose="020E0502060401010101" pitchFamily="34" charset="-79"/>
            </a:rPr>
            <a:t>בנתונים אלו, ועבור כל אחת מהשנים הנדונות, נדרש:</a:t>
          </a:r>
          <a:endParaRPr lang="en-IL" sz="1100">
            <a:solidFill>
              <a:schemeClr val="dk1"/>
            </a:solidFill>
            <a:effectLst/>
            <a:latin typeface="David" panose="020E0502060401010101" pitchFamily="34" charset="-79"/>
            <a:ea typeface="+mn-ea"/>
            <a:cs typeface="David" panose="020E0502060401010101" pitchFamily="34" charset="-79"/>
          </a:endParaRPr>
        </a:p>
        <a:p>
          <a:pPr lvl="0" rtl="1"/>
          <a:r>
            <a:rPr lang="he-IL" sz="1100">
              <a:solidFill>
                <a:schemeClr val="dk1"/>
              </a:solidFill>
              <a:effectLst/>
              <a:latin typeface="David" panose="020E0502060401010101" pitchFamily="34" charset="-79"/>
              <a:ea typeface="+mn-ea"/>
              <a:cs typeface="David" panose="020E0502060401010101" pitchFamily="34" charset="-79"/>
            </a:rPr>
            <a:t>א. להציג את פקודת היומן שנרשמת בהנהלת חשבונות על בסיס מזומן. </a:t>
          </a:r>
          <a:endParaRPr lang="en-IL" sz="1100">
            <a:solidFill>
              <a:schemeClr val="dk1"/>
            </a:solidFill>
            <a:effectLst/>
            <a:latin typeface="David" panose="020E0502060401010101" pitchFamily="34" charset="-79"/>
            <a:ea typeface="+mn-ea"/>
            <a:cs typeface="David" panose="020E0502060401010101" pitchFamily="34" charset="-79"/>
          </a:endParaRPr>
        </a:p>
        <a:p>
          <a:pPr lvl="0" rtl="1"/>
          <a:r>
            <a:rPr lang="he-IL" sz="1100">
              <a:solidFill>
                <a:schemeClr val="dk1"/>
              </a:solidFill>
              <a:effectLst/>
              <a:latin typeface="David" panose="020E0502060401010101" pitchFamily="34" charset="-79"/>
              <a:ea typeface="+mn-ea"/>
              <a:cs typeface="David" panose="020E0502060401010101" pitchFamily="34" charset="-79"/>
            </a:rPr>
            <a:t>ב. להציג את ההכנסה שתירשם בדוח רווח והפסד לפי בסיס צבירה.</a:t>
          </a:r>
          <a:endParaRPr lang="en-IL" sz="1100">
            <a:solidFill>
              <a:schemeClr val="dk1"/>
            </a:solidFill>
            <a:effectLst/>
            <a:latin typeface="David" panose="020E0502060401010101" pitchFamily="34" charset="-79"/>
            <a:ea typeface="+mn-ea"/>
            <a:cs typeface="David" panose="020E0502060401010101" pitchFamily="34" charset="-79"/>
          </a:endParaRPr>
        </a:p>
        <a:p>
          <a:pPr lvl="0" rtl="1"/>
          <a:r>
            <a:rPr lang="he-IL" sz="1100">
              <a:solidFill>
                <a:schemeClr val="dk1"/>
              </a:solidFill>
              <a:effectLst/>
              <a:latin typeface="David" panose="020E0502060401010101" pitchFamily="34" charset="-79"/>
              <a:ea typeface="+mn-ea"/>
              <a:cs typeface="David" panose="020E0502060401010101" pitchFamily="34" charset="-79"/>
            </a:rPr>
            <a:t>ג. להציג את פקודת ההתאמה או ״פקודת החתך״ שתירשם בכל שנה.</a:t>
          </a:r>
          <a:endParaRPr lang="en-IL" sz="1100">
            <a:solidFill>
              <a:schemeClr val="dk1"/>
            </a:solidFill>
            <a:effectLst/>
            <a:latin typeface="David" panose="020E0502060401010101" pitchFamily="34" charset="-79"/>
            <a:ea typeface="+mn-ea"/>
            <a:cs typeface="David" panose="020E0502060401010101" pitchFamily="34" charset="-79"/>
          </a:endParaRPr>
        </a:p>
        <a:p>
          <a:pPr lvl="0" rtl="1"/>
          <a:r>
            <a:rPr lang="he-IL" sz="1100">
              <a:solidFill>
                <a:schemeClr val="dk1"/>
              </a:solidFill>
              <a:effectLst/>
              <a:latin typeface="David" panose="020E0502060401010101" pitchFamily="34" charset="-79"/>
              <a:ea typeface="+mn-ea"/>
              <a:cs typeface="David" panose="020E0502060401010101" pitchFamily="34" charset="-79"/>
            </a:rPr>
            <a:t>ד. להציג את יתרת החתך לתום כל אחת מהשנים, כולל שם, סכום וסיווג (נכס / התחייבות). </a:t>
          </a:r>
          <a:endParaRPr lang="en-IL" sz="1100">
            <a:solidFill>
              <a:schemeClr val="dk1"/>
            </a:solidFill>
            <a:effectLst/>
            <a:latin typeface="David" panose="020E0502060401010101" pitchFamily="34" charset="-79"/>
            <a:ea typeface="+mn-ea"/>
            <a:cs typeface="David" panose="020E0502060401010101" pitchFamily="34" charset="-79"/>
          </a:endParaRPr>
        </a:p>
        <a:p>
          <a:pPr algn="r" rtl="1"/>
          <a:endParaRPr lang="en-US" sz="1100">
            <a:latin typeface="David" panose="020E0502060401010101" pitchFamily="34" charset="-79"/>
            <a:cs typeface="David" panose="020E0502060401010101" pitchFamily="34" charset="-79"/>
          </a:endParaRPr>
        </a:p>
      </xdr:txBody>
    </xdr:sp>
    <xdr:clientData/>
  </xdr:twoCellAnchor>
  <xdr:twoCellAnchor>
    <xdr:from>
      <xdr:col>5</xdr:col>
      <xdr:colOff>730250</xdr:colOff>
      <xdr:row>60</xdr:row>
      <xdr:rowOff>193675</xdr:rowOff>
    </xdr:from>
    <xdr:to>
      <xdr:col>6</xdr:col>
      <xdr:colOff>215900</xdr:colOff>
      <xdr:row>62</xdr:row>
      <xdr:rowOff>38100</xdr:rowOff>
    </xdr:to>
    <xdr:sp macro="" textlink="">
      <xdr:nvSpPr>
        <xdr:cNvPr id="14" name="Oval 13">
          <a:extLst>
            <a:ext uri="{FF2B5EF4-FFF2-40B4-BE49-F238E27FC236}">
              <a16:creationId xmlns:a16="http://schemas.microsoft.com/office/drawing/2014/main" id="{8148AD95-FE82-429C-CF2B-6D9A14719BE3}"/>
            </a:ext>
          </a:extLst>
        </xdr:cNvPr>
        <xdr:cNvSpPr/>
      </xdr:nvSpPr>
      <xdr:spPr>
        <a:xfrm>
          <a:off x="13519950100" y="13782675"/>
          <a:ext cx="311150" cy="250825"/>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r" rtl="1"/>
          <a:endParaRPr lang="en-US" sz="1100"/>
        </a:p>
      </xdr:txBody>
    </xdr:sp>
    <xdr:clientData/>
  </xdr:twoCellAnchor>
  <xdr:twoCellAnchor>
    <xdr:from>
      <xdr:col>6</xdr:col>
      <xdr:colOff>234950</xdr:colOff>
      <xdr:row>61</xdr:row>
      <xdr:rowOff>79375</xdr:rowOff>
    </xdr:from>
    <xdr:to>
      <xdr:col>6</xdr:col>
      <xdr:colOff>482600</xdr:colOff>
      <xdr:row>61</xdr:row>
      <xdr:rowOff>155575</xdr:rowOff>
    </xdr:to>
    <xdr:sp macro="" textlink="">
      <xdr:nvSpPr>
        <xdr:cNvPr id="19" name="Freeform 18">
          <a:extLst>
            <a:ext uri="{FF2B5EF4-FFF2-40B4-BE49-F238E27FC236}">
              <a16:creationId xmlns:a16="http://schemas.microsoft.com/office/drawing/2014/main" id="{F6354E4C-5AFA-FF67-F1E8-F2716BE6F51A}"/>
            </a:ext>
          </a:extLst>
        </xdr:cNvPr>
        <xdr:cNvSpPr/>
      </xdr:nvSpPr>
      <xdr:spPr>
        <a:xfrm>
          <a:off x="13519683400" y="13871575"/>
          <a:ext cx="247650" cy="76200"/>
        </a:xfrm>
        <a:custGeom>
          <a:avLst/>
          <a:gdLst>
            <a:gd name="connsiteX0" fmla="*/ 247650 w 247650"/>
            <a:gd name="connsiteY0" fmla="*/ 22225 h 76200"/>
            <a:gd name="connsiteX1" fmla="*/ 200025 w 247650"/>
            <a:gd name="connsiteY1" fmla="*/ 15875 h 76200"/>
            <a:gd name="connsiteX2" fmla="*/ 187325 w 247650"/>
            <a:gd name="connsiteY2" fmla="*/ 12700 h 76200"/>
            <a:gd name="connsiteX3" fmla="*/ 177800 w 247650"/>
            <a:gd name="connsiteY3" fmla="*/ 6350 h 76200"/>
            <a:gd name="connsiteX4" fmla="*/ 165100 w 247650"/>
            <a:gd name="connsiteY4" fmla="*/ 0 h 76200"/>
            <a:gd name="connsiteX5" fmla="*/ 107950 w 247650"/>
            <a:gd name="connsiteY5" fmla="*/ 3175 h 76200"/>
            <a:gd name="connsiteX6" fmla="*/ 82550 w 247650"/>
            <a:gd name="connsiteY6" fmla="*/ 9525 h 76200"/>
            <a:gd name="connsiteX7" fmla="*/ 69850 w 247650"/>
            <a:gd name="connsiteY7" fmla="*/ 12700 h 76200"/>
            <a:gd name="connsiteX8" fmla="*/ 50800 w 247650"/>
            <a:gd name="connsiteY8" fmla="*/ 25400 h 76200"/>
            <a:gd name="connsiteX9" fmla="*/ 41275 w 247650"/>
            <a:gd name="connsiteY9" fmla="*/ 31750 h 76200"/>
            <a:gd name="connsiteX10" fmla="*/ 22225 w 247650"/>
            <a:gd name="connsiteY10" fmla="*/ 47625 h 76200"/>
            <a:gd name="connsiteX11" fmla="*/ 6350 w 247650"/>
            <a:gd name="connsiteY11" fmla="*/ 66675 h 76200"/>
            <a:gd name="connsiteX12" fmla="*/ 0 w 247650"/>
            <a:gd name="connsiteY12" fmla="*/ 76200 h 762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47650" h="76200">
              <a:moveTo>
                <a:pt x="247650" y="22225"/>
              </a:moveTo>
              <a:cubicBezTo>
                <a:pt x="231775" y="20108"/>
                <a:pt x="215845" y="18373"/>
                <a:pt x="200025" y="15875"/>
              </a:cubicBezTo>
              <a:cubicBezTo>
                <a:pt x="195715" y="15194"/>
                <a:pt x="191336" y="14419"/>
                <a:pt x="187325" y="12700"/>
              </a:cubicBezTo>
              <a:cubicBezTo>
                <a:pt x="183818" y="11197"/>
                <a:pt x="181113" y="8243"/>
                <a:pt x="177800" y="6350"/>
              </a:cubicBezTo>
              <a:cubicBezTo>
                <a:pt x="173691" y="4002"/>
                <a:pt x="169333" y="2117"/>
                <a:pt x="165100" y="0"/>
              </a:cubicBezTo>
              <a:cubicBezTo>
                <a:pt x="146050" y="1058"/>
                <a:pt x="126904" y="988"/>
                <a:pt x="107950" y="3175"/>
              </a:cubicBezTo>
              <a:cubicBezTo>
                <a:pt x="99280" y="4175"/>
                <a:pt x="91017" y="7408"/>
                <a:pt x="82550" y="9525"/>
              </a:cubicBezTo>
              <a:lnTo>
                <a:pt x="69850" y="12700"/>
              </a:lnTo>
              <a:lnTo>
                <a:pt x="50800" y="25400"/>
              </a:lnTo>
              <a:cubicBezTo>
                <a:pt x="47625" y="27517"/>
                <a:pt x="43973" y="29052"/>
                <a:pt x="41275" y="31750"/>
              </a:cubicBezTo>
              <a:cubicBezTo>
                <a:pt x="29052" y="43973"/>
                <a:pt x="35486" y="38784"/>
                <a:pt x="22225" y="47625"/>
              </a:cubicBezTo>
              <a:cubicBezTo>
                <a:pt x="6459" y="71274"/>
                <a:pt x="26722" y="42229"/>
                <a:pt x="6350" y="66675"/>
              </a:cubicBezTo>
              <a:cubicBezTo>
                <a:pt x="3907" y="69606"/>
                <a:pt x="0" y="76200"/>
                <a:pt x="0" y="76200"/>
              </a:cubicBezTo>
            </a:path>
          </a:pathLst>
        </a:cu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editAs="oneCell">
    <xdr:from>
      <xdr:col>5</xdr:col>
      <xdr:colOff>509341</xdr:colOff>
      <xdr:row>176</xdr:row>
      <xdr:rowOff>18733</xdr:rowOff>
    </xdr:from>
    <xdr:to>
      <xdr:col>7</xdr:col>
      <xdr:colOff>312778</xdr:colOff>
      <xdr:row>184</xdr:row>
      <xdr:rowOff>3748</xdr:rowOff>
    </xdr:to>
    <xdr:pic>
      <xdr:nvPicPr>
        <xdr:cNvPr id="4" name="Picture 3">
          <a:extLst>
            <a:ext uri="{FF2B5EF4-FFF2-40B4-BE49-F238E27FC236}">
              <a16:creationId xmlns:a16="http://schemas.microsoft.com/office/drawing/2014/main" id="{7949C94E-F87E-D402-CA1B-2B0FFC4EDDBF}"/>
            </a:ext>
          </a:extLst>
        </xdr:cNvPr>
        <xdr:cNvPicPr>
          <a:picLocks noChangeAspect="1"/>
        </xdr:cNvPicPr>
      </xdr:nvPicPr>
      <xdr:blipFill>
        <a:blip xmlns:r="http://schemas.openxmlformats.org/officeDocument/2006/relationships" r:embed="rId3"/>
        <a:stretch>
          <a:fillRect/>
        </a:stretch>
      </xdr:blipFill>
      <xdr:spPr>
        <a:xfrm>
          <a:off x="13497427045" y="38789323"/>
          <a:ext cx="1579189" cy="1603422"/>
        </a:xfrm>
        <a:prstGeom prst="rect">
          <a:avLst/>
        </a:prstGeom>
      </xdr:spPr>
    </xdr:pic>
    <xdr:clientData/>
  </xdr:twoCellAnchor>
  <xdr:twoCellAnchor editAs="oneCell">
    <xdr:from>
      <xdr:col>4</xdr:col>
      <xdr:colOff>573128</xdr:colOff>
      <xdr:row>19</xdr:row>
      <xdr:rowOff>110955</xdr:rowOff>
    </xdr:from>
    <xdr:to>
      <xdr:col>7</xdr:col>
      <xdr:colOff>121790</xdr:colOff>
      <xdr:row>30</xdr:row>
      <xdr:rowOff>68382</xdr:rowOff>
    </xdr:to>
    <xdr:pic>
      <xdr:nvPicPr>
        <xdr:cNvPr id="6" name="Picture 5">
          <a:extLst>
            <a:ext uri="{FF2B5EF4-FFF2-40B4-BE49-F238E27FC236}">
              <a16:creationId xmlns:a16="http://schemas.microsoft.com/office/drawing/2014/main" id="{1E605503-5389-6B87-F9C7-7D2E37C74136}"/>
            </a:ext>
          </a:extLst>
        </xdr:cNvPr>
        <xdr:cNvPicPr>
          <a:picLocks noChangeAspect="1"/>
        </xdr:cNvPicPr>
      </xdr:nvPicPr>
      <xdr:blipFill>
        <a:blip xmlns:r="http://schemas.openxmlformats.org/officeDocument/2006/relationships" r:embed="rId4"/>
        <a:stretch>
          <a:fillRect/>
        </a:stretch>
      </xdr:blipFill>
      <xdr:spPr>
        <a:xfrm>
          <a:off x="13545756825" y="4201006"/>
          <a:ext cx="2157047" cy="2178299"/>
        </a:xfrm>
        <a:prstGeom prst="rect">
          <a:avLst/>
        </a:prstGeom>
      </xdr:spPr>
    </xdr:pic>
    <xdr:clientData/>
  </xdr:twoCellAnchor>
  <xdr:twoCellAnchor editAs="oneCell">
    <xdr:from>
      <xdr:col>5</xdr:col>
      <xdr:colOff>475435</xdr:colOff>
      <xdr:row>120</xdr:row>
      <xdr:rowOff>181126</xdr:rowOff>
    </xdr:from>
    <xdr:to>
      <xdr:col>7</xdr:col>
      <xdr:colOff>569218</xdr:colOff>
      <xdr:row>128</xdr:row>
      <xdr:rowOff>169148</xdr:rowOff>
    </xdr:to>
    <xdr:pic>
      <xdr:nvPicPr>
        <xdr:cNvPr id="7" name="Picture 6">
          <a:extLst>
            <a:ext uri="{FF2B5EF4-FFF2-40B4-BE49-F238E27FC236}">
              <a16:creationId xmlns:a16="http://schemas.microsoft.com/office/drawing/2014/main" id="{FA083E22-4806-D019-FAA7-A0B3FC7525C3}"/>
            </a:ext>
          </a:extLst>
        </xdr:cNvPr>
        <xdr:cNvPicPr>
          <a:picLocks noChangeAspect="1"/>
        </xdr:cNvPicPr>
      </xdr:nvPicPr>
      <xdr:blipFill>
        <a:blip xmlns:r="http://schemas.openxmlformats.org/officeDocument/2006/relationships" r:embed="rId5"/>
        <a:stretch>
          <a:fillRect/>
        </a:stretch>
      </xdr:blipFill>
      <xdr:spPr>
        <a:xfrm>
          <a:off x="13545309397" y="27600100"/>
          <a:ext cx="1875040" cy="1603202"/>
        </a:xfrm>
        <a:prstGeom prst="rect">
          <a:avLst/>
        </a:prstGeom>
      </xdr:spPr>
    </xdr:pic>
    <xdr:clientData/>
  </xdr:twoCellAnchor>
  <xdr:twoCellAnchor editAs="oneCell">
    <xdr:from>
      <xdr:col>5</xdr:col>
      <xdr:colOff>490639</xdr:colOff>
      <xdr:row>154</xdr:row>
      <xdr:rowOff>175847</xdr:rowOff>
    </xdr:from>
    <xdr:to>
      <xdr:col>7</xdr:col>
      <xdr:colOff>699477</xdr:colOff>
      <xdr:row>163</xdr:row>
      <xdr:rowOff>97066</xdr:rowOff>
    </xdr:to>
    <xdr:pic>
      <xdr:nvPicPr>
        <xdr:cNvPr id="8" name="Picture 7">
          <a:extLst>
            <a:ext uri="{FF2B5EF4-FFF2-40B4-BE49-F238E27FC236}">
              <a16:creationId xmlns:a16="http://schemas.microsoft.com/office/drawing/2014/main" id="{B9AC6EE1-59CF-9B5E-B703-2381465869E0}"/>
            </a:ext>
          </a:extLst>
        </xdr:cNvPr>
        <xdr:cNvPicPr>
          <a:picLocks noChangeAspect="1"/>
        </xdr:cNvPicPr>
      </xdr:nvPicPr>
      <xdr:blipFill>
        <a:blip xmlns:r="http://schemas.openxmlformats.org/officeDocument/2006/relationships" r:embed="rId6"/>
        <a:stretch>
          <a:fillRect/>
        </a:stretch>
      </xdr:blipFill>
      <xdr:spPr>
        <a:xfrm>
          <a:off x="13545179138" y="34459334"/>
          <a:ext cx="1990095" cy="173829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751807</xdr:colOff>
      <xdr:row>18</xdr:row>
      <xdr:rowOff>339799</xdr:rowOff>
    </xdr:from>
    <xdr:to>
      <xdr:col>2</xdr:col>
      <xdr:colOff>16990</xdr:colOff>
      <xdr:row>18</xdr:row>
      <xdr:rowOff>339799</xdr:rowOff>
    </xdr:to>
    <xdr:cxnSp macro="">
      <xdr:nvCxnSpPr>
        <xdr:cNvPr id="2" name="Straight Arrow Connector 1">
          <a:extLst>
            <a:ext uri="{FF2B5EF4-FFF2-40B4-BE49-F238E27FC236}">
              <a16:creationId xmlns:a16="http://schemas.microsoft.com/office/drawing/2014/main" id="{876AD644-E4B4-314F-B66E-31F77EDE1C49}"/>
            </a:ext>
          </a:extLst>
        </xdr:cNvPr>
        <xdr:cNvCxnSpPr/>
      </xdr:nvCxnSpPr>
      <xdr:spPr>
        <a:xfrm flipH="1">
          <a:off x="13524086010" y="25244499"/>
          <a:ext cx="204983" cy="0"/>
        </a:xfrm>
        <a:prstGeom prst="straightConnector1">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6</xdr:col>
      <xdr:colOff>467226</xdr:colOff>
      <xdr:row>17</xdr:row>
      <xdr:rowOff>182642</xdr:rowOff>
    </xdr:from>
    <xdr:to>
      <xdr:col>6</xdr:col>
      <xdr:colOff>471473</xdr:colOff>
      <xdr:row>18</xdr:row>
      <xdr:rowOff>259097</xdr:rowOff>
    </xdr:to>
    <xdr:cxnSp macro="">
      <xdr:nvCxnSpPr>
        <xdr:cNvPr id="3" name="Straight Arrow Connector 2">
          <a:extLst>
            <a:ext uri="{FF2B5EF4-FFF2-40B4-BE49-F238E27FC236}">
              <a16:creationId xmlns:a16="http://schemas.microsoft.com/office/drawing/2014/main" id="{8CB3DD61-AAF7-7748-AA9B-F6F82382C6F4}"/>
            </a:ext>
          </a:extLst>
        </xdr:cNvPr>
        <xdr:cNvCxnSpPr/>
      </xdr:nvCxnSpPr>
      <xdr:spPr>
        <a:xfrm flipH="1">
          <a:off x="13519694527" y="24884142"/>
          <a:ext cx="4247" cy="279655"/>
        </a:xfrm>
        <a:prstGeom prst="straightConnector1">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1</xdr:col>
      <xdr:colOff>751807</xdr:colOff>
      <xdr:row>31</xdr:row>
      <xdr:rowOff>339799</xdr:rowOff>
    </xdr:from>
    <xdr:to>
      <xdr:col>2</xdr:col>
      <xdr:colOff>16990</xdr:colOff>
      <xdr:row>31</xdr:row>
      <xdr:rowOff>339799</xdr:rowOff>
    </xdr:to>
    <xdr:cxnSp macro="">
      <xdr:nvCxnSpPr>
        <xdr:cNvPr id="4" name="Straight Arrow Connector 3">
          <a:extLst>
            <a:ext uri="{FF2B5EF4-FFF2-40B4-BE49-F238E27FC236}">
              <a16:creationId xmlns:a16="http://schemas.microsoft.com/office/drawing/2014/main" id="{79541C29-2EBD-E648-857C-4EEA26B201D2}"/>
            </a:ext>
          </a:extLst>
        </xdr:cNvPr>
        <xdr:cNvCxnSpPr/>
      </xdr:nvCxnSpPr>
      <xdr:spPr>
        <a:xfrm flipH="1">
          <a:off x="13568552575" y="3376756"/>
          <a:ext cx="93444" cy="0"/>
        </a:xfrm>
        <a:prstGeom prst="straightConnector1">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6</xdr:col>
      <xdr:colOff>467226</xdr:colOff>
      <xdr:row>30</xdr:row>
      <xdr:rowOff>182642</xdr:rowOff>
    </xdr:from>
    <xdr:to>
      <xdr:col>6</xdr:col>
      <xdr:colOff>471473</xdr:colOff>
      <xdr:row>31</xdr:row>
      <xdr:rowOff>259097</xdr:rowOff>
    </xdr:to>
    <xdr:cxnSp macro="">
      <xdr:nvCxnSpPr>
        <xdr:cNvPr id="5" name="Straight Arrow Connector 4">
          <a:extLst>
            <a:ext uri="{FF2B5EF4-FFF2-40B4-BE49-F238E27FC236}">
              <a16:creationId xmlns:a16="http://schemas.microsoft.com/office/drawing/2014/main" id="{87973C10-E873-4945-A1CF-F4BDA7CDC718}"/>
            </a:ext>
          </a:extLst>
        </xdr:cNvPr>
        <xdr:cNvCxnSpPr/>
      </xdr:nvCxnSpPr>
      <xdr:spPr>
        <a:xfrm flipH="1">
          <a:off x="13564785049" y="3017135"/>
          <a:ext cx="4247" cy="278919"/>
        </a:xfrm>
        <a:prstGeom prst="straightConnector1">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editAs="oneCell">
    <xdr:from>
      <xdr:col>0</xdr:col>
      <xdr:colOff>0</xdr:colOff>
      <xdr:row>52</xdr:row>
      <xdr:rowOff>0</xdr:rowOff>
    </xdr:from>
    <xdr:to>
      <xdr:col>7</xdr:col>
      <xdr:colOff>355600</xdr:colOff>
      <xdr:row>96</xdr:row>
      <xdr:rowOff>190500</xdr:rowOff>
    </xdr:to>
    <xdr:pic>
      <xdr:nvPicPr>
        <xdr:cNvPr id="6" name="Picture 5">
          <a:extLst>
            <a:ext uri="{FF2B5EF4-FFF2-40B4-BE49-F238E27FC236}">
              <a16:creationId xmlns:a16="http://schemas.microsoft.com/office/drawing/2014/main" id="{85CC4605-F206-46C7-6979-776944427ED6}"/>
            </a:ext>
          </a:extLst>
        </xdr:cNvPr>
        <xdr:cNvPicPr>
          <a:picLocks noChangeAspect="1"/>
        </xdr:cNvPicPr>
      </xdr:nvPicPr>
      <xdr:blipFill>
        <a:blip xmlns:r="http://schemas.openxmlformats.org/officeDocument/2006/relationships" r:embed="rId1"/>
        <a:stretch>
          <a:fillRect/>
        </a:stretch>
      </xdr:blipFill>
      <xdr:spPr>
        <a:xfrm>
          <a:off x="13518857900" y="11430000"/>
          <a:ext cx="6134100" cy="91313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20815</xdr:colOff>
      <xdr:row>76</xdr:row>
      <xdr:rowOff>196252</xdr:rowOff>
    </xdr:from>
    <xdr:to>
      <xdr:col>3</xdr:col>
      <xdr:colOff>738394</xdr:colOff>
      <xdr:row>76</xdr:row>
      <xdr:rowOff>201947</xdr:rowOff>
    </xdr:to>
    <xdr:cxnSp macro="">
      <xdr:nvCxnSpPr>
        <xdr:cNvPr id="76" name="Straight Arrow Connector 75">
          <a:extLst>
            <a:ext uri="{FF2B5EF4-FFF2-40B4-BE49-F238E27FC236}">
              <a16:creationId xmlns:a16="http://schemas.microsoft.com/office/drawing/2014/main" id="{0C98BA12-AA09-7B4E-B3B9-01891C3F2DC9}"/>
            </a:ext>
          </a:extLst>
        </xdr:cNvPr>
        <xdr:cNvCxnSpPr/>
      </xdr:nvCxnSpPr>
      <xdr:spPr>
        <a:xfrm flipH="1">
          <a:off x="13522424806" y="96627352"/>
          <a:ext cx="1657379" cy="569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20815</xdr:colOff>
      <xdr:row>81</xdr:row>
      <xdr:rowOff>202602</xdr:rowOff>
    </xdr:from>
    <xdr:to>
      <xdr:col>3</xdr:col>
      <xdr:colOff>738394</xdr:colOff>
      <xdr:row>81</xdr:row>
      <xdr:rowOff>208297</xdr:rowOff>
    </xdr:to>
    <xdr:cxnSp macro="">
      <xdr:nvCxnSpPr>
        <xdr:cNvPr id="77" name="Straight Arrow Connector 76">
          <a:extLst>
            <a:ext uri="{FF2B5EF4-FFF2-40B4-BE49-F238E27FC236}">
              <a16:creationId xmlns:a16="http://schemas.microsoft.com/office/drawing/2014/main" id="{87E3D48B-DD38-2040-A2EC-C5F62FDA071A}"/>
            </a:ext>
          </a:extLst>
        </xdr:cNvPr>
        <xdr:cNvCxnSpPr/>
      </xdr:nvCxnSpPr>
      <xdr:spPr>
        <a:xfrm flipH="1">
          <a:off x="13522424806" y="97649702"/>
          <a:ext cx="1657379" cy="569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666750</xdr:colOff>
      <xdr:row>106</xdr:row>
      <xdr:rowOff>190500</xdr:rowOff>
    </xdr:from>
    <xdr:to>
      <xdr:col>6</xdr:col>
      <xdr:colOff>31750</xdr:colOff>
      <xdr:row>108</xdr:row>
      <xdr:rowOff>196850</xdr:rowOff>
    </xdr:to>
    <xdr:sp macro="" textlink="">
      <xdr:nvSpPr>
        <xdr:cNvPr id="78" name="Left Brace 77">
          <a:extLst>
            <a:ext uri="{FF2B5EF4-FFF2-40B4-BE49-F238E27FC236}">
              <a16:creationId xmlns:a16="http://schemas.microsoft.com/office/drawing/2014/main" id="{A939EBA1-C427-C943-BA2B-987549CB2496}"/>
            </a:ext>
          </a:extLst>
        </xdr:cNvPr>
        <xdr:cNvSpPr/>
      </xdr:nvSpPr>
      <xdr:spPr>
        <a:xfrm>
          <a:off x="13520134250" y="102717600"/>
          <a:ext cx="190500" cy="4127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xdr:from>
      <xdr:col>6</xdr:col>
      <xdr:colOff>615950</xdr:colOff>
      <xdr:row>106</xdr:row>
      <xdr:rowOff>171450</xdr:rowOff>
    </xdr:from>
    <xdr:to>
      <xdr:col>7</xdr:col>
      <xdr:colOff>12700</xdr:colOff>
      <xdr:row>107</xdr:row>
      <xdr:rowOff>158750</xdr:rowOff>
    </xdr:to>
    <xdr:sp macro="" textlink="">
      <xdr:nvSpPr>
        <xdr:cNvPr id="79" name="Rectangle 78">
          <a:extLst>
            <a:ext uri="{FF2B5EF4-FFF2-40B4-BE49-F238E27FC236}">
              <a16:creationId xmlns:a16="http://schemas.microsoft.com/office/drawing/2014/main" id="{9A792C72-9777-5041-A81A-6FB0AA38EB4D}"/>
            </a:ext>
          </a:extLst>
        </xdr:cNvPr>
        <xdr:cNvSpPr/>
      </xdr:nvSpPr>
      <xdr:spPr>
        <a:xfrm>
          <a:off x="13519200800" y="102698550"/>
          <a:ext cx="349250" cy="190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א</a:t>
          </a:r>
          <a:endParaRPr lang="en-US" sz="1100"/>
        </a:p>
      </xdr:txBody>
    </xdr:sp>
    <xdr:clientData/>
  </xdr:twoCellAnchor>
  <xdr:twoCellAnchor>
    <xdr:from>
      <xdr:col>5</xdr:col>
      <xdr:colOff>469900</xdr:colOff>
      <xdr:row>110</xdr:row>
      <xdr:rowOff>57150</xdr:rowOff>
    </xdr:from>
    <xdr:to>
      <xdr:col>5</xdr:col>
      <xdr:colOff>692150</xdr:colOff>
      <xdr:row>111</xdr:row>
      <xdr:rowOff>44450</xdr:rowOff>
    </xdr:to>
    <xdr:sp macro="" textlink="">
      <xdr:nvSpPr>
        <xdr:cNvPr id="80" name="Rectangle 79">
          <a:extLst>
            <a:ext uri="{FF2B5EF4-FFF2-40B4-BE49-F238E27FC236}">
              <a16:creationId xmlns:a16="http://schemas.microsoft.com/office/drawing/2014/main" id="{C4FBF1A6-3EF1-7947-96FF-4A5E6B8206D0}"/>
            </a:ext>
          </a:extLst>
        </xdr:cNvPr>
        <xdr:cNvSpPr/>
      </xdr:nvSpPr>
      <xdr:spPr>
        <a:xfrm>
          <a:off x="13520299350" y="103397050"/>
          <a:ext cx="222250" cy="190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ב</a:t>
          </a:r>
          <a:endParaRPr lang="en-US" sz="1100"/>
        </a:p>
      </xdr:txBody>
    </xdr:sp>
    <xdr:clientData/>
  </xdr:twoCellAnchor>
  <xdr:twoCellAnchor>
    <xdr:from>
      <xdr:col>5</xdr:col>
      <xdr:colOff>666750</xdr:colOff>
      <xdr:row>109</xdr:row>
      <xdr:rowOff>19050</xdr:rowOff>
    </xdr:from>
    <xdr:to>
      <xdr:col>6</xdr:col>
      <xdr:colOff>63500</xdr:colOff>
      <xdr:row>109</xdr:row>
      <xdr:rowOff>209550</xdr:rowOff>
    </xdr:to>
    <xdr:sp macro="" textlink="">
      <xdr:nvSpPr>
        <xdr:cNvPr id="81" name="Rectangle 80">
          <a:extLst>
            <a:ext uri="{FF2B5EF4-FFF2-40B4-BE49-F238E27FC236}">
              <a16:creationId xmlns:a16="http://schemas.microsoft.com/office/drawing/2014/main" id="{F6346011-0363-A84F-86AA-41DF4FE6DCFA}"/>
            </a:ext>
          </a:extLst>
        </xdr:cNvPr>
        <xdr:cNvSpPr/>
      </xdr:nvSpPr>
      <xdr:spPr>
        <a:xfrm>
          <a:off x="13520102500" y="103155750"/>
          <a:ext cx="222250" cy="1778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ג</a:t>
          </a:r>
          <a:endParaRPr lang="en-US" sz="1100"/>
        </a:p>
      </xdr:txBody>
    </xdr:sp>
    <xdr:clientData/>
  </xdr:twoCellAnchor>
  <xdr:twoCellAnchor>
    <xdr:from>
      <xdr:col>2</xdr:col>
      <xdr:colOff>19050</xdr:colOff>
      <xdr:row>122</xdr:row>
      <xdr:rowOff>457200</xdr:rowOff>
    </xdr:from>
    <xdr:to>
      <xdr:col>3</xdr:col>
      <xdr:colOff>800100</xdr:colOff>
      <xdr:row>122</xdr:row>
      <xdr:rowOff>463550</xdr:rowOff>
    </xdr:to>
    <xdr:cxnSp macro="">
      <xdr:nvCxnSpPr>
        <xdr:cNvPr id="82" name="Straight Arrow Connector 81">
          <a:extLst>
            <a:ext uri="{FF2B5EF4-FFF2-40B4-BE49-F238E27FC236}">
              <a16:creationId xmlns:a16="http://schemas.microsoft.com/office/drawing/2014/main" id="{C62E8209-499B-634B-90EF-2076865E3461}"/>
            </a:ext>
          </a:extLst>
        </xdr:cNvPr>
        <xdr:cNvCxnSpPr/>
      </xdr:nvCxnSpPr>
      <xdr:spPr>
        <a:xfrm flipH="1">
          <a:off x="13522363100" y="105981500"/>
          <a:ext cx="17208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12700</xdr:colOff>
      <xdr:row>179</xdr:row>
      <xdr:rowOff>152400</xdr:rowOff>
    </xdr:from>
    <xdr:to>
      <xdr:col>3</xdr:col>
      <xdr:colOff>793750</xdr:colOff>
      <xdr:row>179</xdr:row>
      <xdr:rowOff>158750</xdr:rowOff>
    </xdr:to>
    <xdr:cxnSp macro="">
      <xdr:nvCxnSpPr>
        <xdr:cNvPr id="83" name="Straight Arrow Connector 82">
          <a:extLst>
            <a:ext uri="{FF2B5EF4-FFF2-40B4-BE49-F238E27FC236}">
              <a16:creationId xmlns:a16="http://schemas.microsoft.com/office/drawing/2014/main" id="{DBB7037A-5C84-6B40-A105-DE3E9A10E073}"/>
            </a:ext>
          </a:extLst>
        </xdr:cNvPr>
        <xdr:cNvCxnSpPr/>
      </xdr:nvCxnSpPr>
      <xdr:spPr>
        <a:xfrm flipH="1" flipV="1">
          <a:off x="13522369450" y="110401100"/>
          <a:ext cx="1720850"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184</xdr:row>
      <xdr:rowOff>152400</xdr:rowOff>
    </xdr:from>
    <xdr:to>
      <xdr:col>3</xdr:col>
      <xdr:colOff>800100</xdr:colOff>
      <xdr:row>184</xdr:row>
      <xdr:rowOff>158750</xdr:rowOff>
    </xdr:to>
    <xdr:cxnSp macro="">
      <xdr:nvCxnSpPr>
        <xdr:cNvPr id="84" name="Straight Arrow Connector 83">
          <a:extLst>
            <a:ext uri="{FF2B5EF4-FFF2-40B4-BE49-F238E27FC236}">
              <a16:creationId xmlns:a16="http://schemas.microsoft.com/office/drawing/2014/main" id="{8625A162-97FF-7543-B08D-A058C0524B24}"/>
            </a:ext>
          </a:extLst>
        </xdr:cNvPr>
        <xdr:cNvCxnSpPr/>
      </xdr:nvCxnSpPr>
      <xdr:spPr>
        <a:xfrm flipH="1" flipV="1">
          <a:off x="13522363100" y="111417100"/>
          <a:ext cx="1720850"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664052</xdr:colOff>
      <xdr:row>118</xdr:row>
      <xdr:rowOff>29052</xdr:rowOff>
    </xdr:from>
    <xdr:to>
      <xdr:col>0</xdr:col>
      <xdr:colOff>809313</xdr:colOff>
      <xdr:row>118</xdr:row>
      <xdr:rowOff>166012</xdr:rowOff>
    </xdr:to>
    <xdr:sp macro="" textlink="">
      <xdr:nvSpPr>
        <xdr:cNvPr id="85" name="Rectangle 84">
          <a:extLst>
            <a:ext uri="{FF2B5EF4-FFF2-40B4-BE49-F238E27FC236}">
              <a16:creationId xmlns:a16="http://schemas.microsoft.com/office/drawing/2014/main" id="{13C2AB47-00A9-E649-92F8-1D4701285423}"/>
            </a:ext>
          </a:extLst>
        </xdr:cNvPr>
        <xdr:cNvSpPr/>
      </xdr:nvSpPr>
      <xdr:spPr>
        <a:xfrm>
          <a:off x="13525135187" y="104994552"/>
          <a:ext cx="145261"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1</a:t>
          </a:r>
          <a:endParaRPr lang="en-US" sz="1100"/>
        </a:p>
      </xdr:txBody>
    </xdr:sp>
    <xdr:clientData/>
  </xdr:twoCellAnchor>
  <xdr:twoCellAnchor>
    <xdr:from>
      <xdr:col>1</xdr:col>
      <xdr:colOff>722157</xdr:colOff>
      <xdr:row>119</xdr:row>
      <xdr:rowOff>136961</xdr:rowOff>
    </xdr:from>
    <xdr:to>
      <xdr:col>2</xdr:col>
      <xdr:colOff>41503</xdr:colOff>
      <xdr:row>119</xdr:row>
      <xdr:rowOff>273921</xdr:rowOff>
    </xdr:to>
    <xdr:sp macro="" textlink="">
      <xdr:nvSpPr>
        <xdr:cNvPr id="86" name="Rectangle 85">
          <a:extLst>
            <a:ext uri="{FF2B5EF4-FFF2-40B4-BE49-F238E27FC236}">
              <a16:creationId xmlns:a16="http://schemas.microsoft.com/office/drawing/2014/main" id="{09FD024E-F688-444B-B6A5-5A2114137BE4}"/>
            </a:ext>
          </a:extLst>
        </xdr:cNvPr>
        <xdr:cNvSpPr/>
      </xdr:nvSpPr>
      <xdr:spPr>
        <a:xfrm>
          <a:off x="13524061497" y="105305661"/>
          <a:ext cx="335346" cy="607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2</a:t>
          </a:r>
          <a:endParaRPr lang="en-US" sz="1100"/>
        </a:p>
      </xdr:txBody>
    </xdr:sp>
    <xdr:clientData/>
  </xdr:twoCellAnchor>
  <xdr:twoCellAnchor>
    <xdr:from>
      <xdr:col>2</xdr:col>
      <xdr:colOff>751209</xdr:colOff>
      <xdr:row>120</xdr:row>
      <xdr:rowOff>45654</xdr:rowOff>
    </xdr:from>
    <xdr:to>
      <xdr:col>3</xdr:col>
      <xdr:colOff>70555</xdr:colOff>
      <xdr:row>120</xdr:row>
      <xdr:rowOff>182614</xdr:rowOff>
    </xdr:to>
    <xdr:sp macro="" textlink="">
      <xdr:nvSpPr>
        <xdr:cNvPr id="87" name="Rectangle 86">
          <a:extLst>
            <a:ext uri="{FF2B5EF4-FFF2-40B4-BE49-F238E27FC236}">
              <a16:creationId xmlns:a16="http://schemas.microsoft.com/office/drawing/2014/main" id="{2F1E0858-62A6-BC43-A2A7-31B76574AD81}"/>
            </a:ext>
          </a:extLst>
        </xdr:cNvPr>
        <xdr:cNvSpPr/>
      </xdr:nvSpPr>
      <xdr:spPr>
        <a:xfrm>
          <a:off x="13523092645" y="105417554"/>
          <a:ext cx="259146"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3</a:t>
          </a:r>
          <a:endParaRPr lang="en-US" sz="1100"/>
        </a:p>
      </xdr:txBody>
    </xdr:sp>
    <xdr:clientData/>
  </xdr:twoCellAnchor>
  <xdr:twoCellAnchor>
    <xdr:from>
      <xdr:col>1</xdr:col>
      <xdr:colOff>630849</xdr:colOff>
      <xdr:row>122</xdr:row>
      <xdr:rowOff>460687</xdr:rowOff>
    </xdr:from>
    <xdr:to>
      <xdr:col>1</xdr:col>
      <xdr:colOff>776110</xdr:colOff>
      <xdr:row>122</xdr:row>
      <xdr:rowOff>597647</xdr:rowOff>
    </xdr:to>
    <xdr:sp macro="" textlink="">
      <xdr:nvSpPr>
        <xdr:cNvPr id="88" name="Rectangle 87">
          <a:extLst>
            <a:ext uri="{FF2B5EF4-FFF2-40B4-BE49-F238E27FC236}">
              <a16:creationId xmlns:a16="http://schemas.microsoft.com/office/drawing/2014/main" id="{A01CE093-830C-754A-B424-78BB50FBD5EF}"/>
            </a:ext>
          </a:extLst>
        </xdr:cNvPr>
        <xdr:cNvSpPr/>
      </xdr:nvSpPr>
      <xdr:spPr>
        <a:xfrm>
          <a:off x="13524342890" y="105984987"/>
          <a:ext cx="145261" cy="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4</a:t>
          </a:r>
          <a:endParaRPr lang="en-US" sz="1100"/>
        </a:p>
      </xdr:txBody>
    </xdr:sp>
    <xdr:clientData/>
  </xdr:twoCellAnchor>
  <xdr:twoCellAnchor>
    <xdr:from>
      <xdr:col>4</xdr:col>
      <xdr:colOff>693104</xdr:colOff>
      <xdr:row>122</xdr:row>
      <xdr:rowOff>481439</xdr:rowOff>
    </xdr:from>
    <xdr:to>
      <xdr:col>5</xdr:col>
      <xdr:colOff>12450</xdr:colOff>
      <xdr:row>122</xdr:row>
      <xdr:rowOff>618399</xdr:rowOff>
    </xdr:to>
    <xdr:sp macro="" textlink="">
      <xdr:nvSpPr>
        <xdr:cNvPr id="89" name="Rectangle 88">
          <a:extLst>
            <a:ext uri="{FF2B5EF4-FFF2-40B4-BE49-F238E27FC236}">
              <a16:creationId xmlns:a16="http://schemas.microsoft.com/office/drawing/2014/main" id="{6AE1C97E-1230-354C-90EB-0F628D3241B4}"/>
            </a:ext>
          </a:extLst>
        </xdr:cNvPr>
        <xdr:cNvSpPr/>
      </xdr:nvSpPr>
      <xdr:spPr>
        <a:xfrm>
          <a:off x="13520979050" y="105980339"/>
          <a:ext cx="144846" cy="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5</a:t>
          </a:r>
          <a:endParaRPr lang="en-US" sz="1100"/>
        </a:p>
      </xdr:txBody>
    </xdr:sp>
    <xdr:clientData/>
  </xdr:twoCellAnchor>
  <xdr:twoCellAnchor>
    <xdr:from>
      <xdr:col>4</xdr:col>
      <xdr:colOff>742908</xdr:colOff>
      <xdr:row>121</xdr:row>
      <xdr:rowOff>45655</xdr:rowOff>
    </xdr:from>
    <xdr:to>
      <xdr:col>5</xdr:col>
      <xdr:colOff>62254</xdr:colOff>
      <xdr:row>121</xdr:row>
      <xdr:rowOff>182615</xdr:rowOff>
    </xdr:to>
    <xdr:sp macro="" textlink="">
      <xdr:nvSpPr>
        <xdr:cNvPr id="90" name="Rectangle 89">
          <a:extLst>
            <a:ext uri="{FF2B5EF4-FFF2-40B4-BE49-F238E27FC236}">
              <a16:creationId xmlns:a16="http://schemas.microsoft.com/office/drawing/2014/main" id="{4B2F95F0-D4E9-D248-B7F8-37E70BD34BD4}"/>
            </a:ext>
          </a:extLst>
        </xdr:cNvPr>
        <xdr:cNvSpPr/>
      </xdr:nvSpPr>
      <xdr:spPr>
        <a:xfrm>
          <a:off x="13520929246" y="105620755"/>
          <a:ext cx="144846"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6</a:t>
          </a:r>
          <a:endParaRPr lang="en-US" sz="1100"/>
        </a:p>
      </xdr:txBody>
    </xdr:sp>
    <xdr:clientData/>
  </xdr:twoCellAnchor>
  <xdr:oneCellAnchor>
    <xdr:from>
      <xdr:col>2</xdr:col>
      <xdr:colOff>160422</xdr:colOff>
      <xdr:row>76</xdr:row>
      <xdr:rowOff>669</xdr:rowOff>
    </xdr:from>
    <xdr:ext cx="1345984" cy="172227"/>
    <mc:AlternateContent xmlns:mc="http://schemas.openxmlformats.org/markup-compatibility/2006" xmlns:a14="http://schemas.microsoft.com/office/drawing/2010/main">
      <mc:Choice Requires="a14">
        <xdr:sp macro="" textlink="">
          <xdr:nvSpPr>
            <xdr:cNvPr id="91" name="TextBox 90">
              <a:extLst>
                <a:ext uri="{FF2B5EF4-FFF2-40B4-BE49-F238E27FC236}">
                  <a16:creationId xmlns:a16="http://schemas.microsoft.com/office/drawing/2014/main" id="{7A742CA5-DC0E-1149-8486-62898C9CC619}"/>
                </a:ext>
              </a:extLst>
            </xdr:cNvPr>
            <xdr:cNvSpPr txBox="1"/>
          </xdr:nvSpPr>
          <xdr:spPr>
            <a:xfrm>
              <a:off x="13522596594" y="96431769"/>
              <a:ext cx="134598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10%</m:t>
                    </m:r>
                  </m:oMath>
                </m:oMathPara>
              </a14:m>
              <a:endParaRPr lang="en-US" sz="1100"/>
            </a:p>
          </xdr:txBody>
        </xdr:sp>
      </mc:Choice>
      <mc:Fallback xmlns="">
        <xdr:sp macro="" textlink="">
          <xdr:nvSpPr>
            <xdr:cNvPr id="91" name="TextBox 90">
              <a:extLst>
                <a:ext uri="{FF2B5EF4-FFF2-40B4-BE49-F238E27FC236}">
                  <a16:creationId xmlns:a16="http://schemas.microsoft.com/office/drawing/2014/main" id="{7A742CA5-DC0E-1149-8486-62898C9CC619}"/>
                </a:ext>
              </a:extLst>
            </xdr:cNvPr>
            <xdr:cNvSpPr txBox="1"/>
          </xdr:nvSpPr>
          <xdr:spPr>
            <a:xfrm>
              <a:off x="13522596594" y="96431769"/>
              <a:ext cx="134598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10%</a:t>
              </a:r>
              <a:endParaRPr lang="en-US" sz="1100"/>
            </a:p>
          </xdr:txBody>
        </xdr:sp>
      </mc:Fallback>
    </mc:AlternateContent>
    <xdr:clientData/>
  </xdr:oneCellAnchor>
  <xdr:oneCellAnchor>
    <xdr:from>
      <xdr:col>2</xdr:col>
      <xdr:colOff>147054</xdr:colOff>
      <xdr:row>81</xdr:row>
      <xdr:rowOff>37433</xdr:rowOff>
    </xdr:from>
    <xdr:ext cx="1345984" cy="172227"/>
    <mc:AlternateContent xmlns:mc="http://schemas.openxmlformats.org/markup-compatibility/2006" xmlns:a14="http://schemas.microsoft.com/office/drawing/2010/main">
      <mc:Choice Requires="a14">
        <xdr:sp macro="" textlink="">
          <xdr:nvSpPr>
            <xdr:cNvPr id="92" name="TextBox 91">
              <a:extLst>
                <a:ext uri="{FF2B5EF4-FFF2-40B4-BE49-F238E27FC236}">
                  <a16:creationId xmlns:a16="http://schemas.microsoft.com/office/drawing/2014/main" id="{98DD65B4-5DBA-8C43-A234-6F5636D6BFB4}"/>
                </a:ext>
              </a:extLst>
            </xdr:cNvPr>
            <xdr:cNvSpPr txBox="1"/>
          </xdr:nvSpPr>
          <xdr:spPr>
            <a:xfrm>
              <a:off x="13522609962" y="97484533"/>
              <a:ext cx="134598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10%</m:t>
                    </m:r>
                  </m:oMath>
                </m:oMathPara>
              </a14:m>
              <a:endParaRPr lang="en-US" sz="1100"/>
            </a:p>
          </xdr:txBody>
        </xdr:sp>
      </mc:Choice>
      <mc:Fallback xmlns="">
        <xdr:sp macro="" textlink="">
          <xdr:nvSpPr>
            <xdr:cNvPr id="92" name="TextBox 91">
              <a:extLst>
                <a:ext uri="{FF2B5EF4-FFF2-40B4-BE49-F238E27FC236}">
                  <a16:creationId xmlns:a16="http://schemas.microsoft.com/office/drawing/2014/main" id="{98DD65B4-5DBA-8C43-A234-6F5636D6BFB4}"/>
                </a:ext>
              </a:extLst>
            </xdr:cNvPr>
            <xdr:cNvSpPr txBox="1"/>
          </xdr:nvSpPr>
          <xdr:spPr>
            <a:xfrm>
              <a:off x="13522609962" y="97484533"/>
              <a:ext cx="134598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10%</a:t>
              </a:r>
              <a:endParaRPr lang="en-US" sz="1100"/>
            </a:p>
          </xdr:txBody>
        </xdr:sp>
      </mc:Fallback>
    </mc:AlternateContent>
    <xdr:clientData/>
  </xdr:oneCellAnchor>
  <xdr:oneCellAnchor>
    <xdr:from>
      <xdr:col>2</xdr:col>
      <xdr:colOff>330315</xdr:colOff>
      <xdr:row>178</xdr:row>
      <xdr:rowOff>200580</xdr:rowOff>
    </xdr:from>
    <xdr:ext cx="950027" cy="172227"/>
    <mc:AlternateContent xmlns:mc="http://schemas.openxmlformats.org/markup-compatibility/2006" xmlns:a14="http://schemas.microsoft.com/office/drawing/2010/main">
      <mc:Choice Requires="a14">
        <xdr:sp macro="" textlink="">
          <xdr:nvSpPr>
            <xdr:cNvPr id="93" name="TextBox 92">
              <a:extLst>
                <a:ext uri="{FF2B5EF4-FFF2-40B4-BE49-F238E27FC236}">
                  <a16:creationId xmlns:a16="http://schemas.microsoft.com/office/drawing/2014/main" id="{BF8B955E-4AD2-F349-84DB-74FB9F0264CD}"/>
                </a:ext>
              </a:extLst>
            </xdr:cNvPr>
            <xdr:cNvSpPr txBox="1"/>
          </xdr:nvSpPr>
          <xdr:spPr>
            <a:xfrm>
              <a:off x="13522822658" y="110246080"/>
              <a:ext cx="95002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8%</m:t>
                    </m:r>
                  </m:oMath>
                </m:oMathPara>
              </a14:m>
              <a:endParaRPr lang="en-US" sz="1100"/>
            </a:p>
          </xdr:txBody>
        </xdr:sp>
      </mc:Choice>
      <mc:Fallback xmlns="">
        <xdr:sp macro="" textlink="">
          <xdr:nvSpPr>
            <xdr:cNvPr id="93" name="TextBox 92">
              <a:extLst>
                <a:ext uri="{FF2B5EF4-FFF2-40B4-BE49-F238E27FC236}">
                  <a16:creationId xmlns:a16="http://schemas.microsoft.com/office/drawing/2014/main" id="{BF8B955E-4AD2-F349-84DB-74FB9F0264CD}"/>
                </a:ext>
              </a:extLst>
            </xdr:cNvPr>
            <xdr:cNvSpPr txBox="1"/>
          </xdr:nvSpPr>
          <xdr:spPr>
            <a:xfrm>
              <a:off x="13522822658" y="110246080"/>
              <a:ext cx="95002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8%</a:t>
              </a:r>
              <a:endParaRPr lang="en-US" sz="1100"/>
            </a:p>
          </xdr:txBody>
        </xdr:sp>
      </mc:Fallback>
    </mc:AlternateContent>
    <xdr:clientData/>
  </xdr:oneCellAnchor>
  <xdr:oneCellAnchor>
    <xdr:from>
      <xdr:col>2</xdr:col>
      <xdr:colOff>273364</xdr:colOff>
      <xdr:row>184</xdr:row>
      <xdr:rowOff>1252</xdr:rowOff>
    </xdr:from>
    <xdr:ext cx="950027" cy="172227"/>
    <mc:AlternateContent xmlns:mc="http://schemas.openxmlformats.org/markup-compatibility/2006" xmlns:a14="http://schemas.microsoft.com/office/drawing/2010/main">
      <mc:Choice Requires="a14">
        <xdr:sp macro="" textlink="">
          <xdr:nvSpPr>
            <xdr:cNvPr id="94" name="TextBox 93">
              <a:extLst>
                <a:ext uri="{FF2B5EF4-FFF2-40B4-BE49-F238E27FC236}">
                  <a16:creationId xmlns:a16="http://schemas.microsoft.com/office/drawing/2014/main" id="{710F403C-29D1-384D-B68F-362C77D29207}"/>
                </a:ext>
              </a:extLst>
            </xdr:cNvPr>
            <xdr:cNvSpPr txBox="1"/>
          </xdr:nvSpPr>
          <xdr:spPr>
            <a:xfrm>
              <a:off x="13522879609" y="111265952"/>
              <a:ext cx="95002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15%</m:t>
                    </m:r>
                  </m:oMath>
                </m:oMathPara>
              </a14:m>
              <a:endParaRPr lang="en-US" sz="1100"/>
            </a:p>
          </xdr:txBody>
        </xdr:sp>
      </mc:Choice>
      <mc:Fallback xmlns="">
        <xdr:sp macro="" textlink="">
          <xdr:nvSpPr>
            <xdr:cNvPr id="94" name="TextBox 93">
              <a:extLst>
                <a:ext uri="{FF2B5EF4-FFF2-40B4-BE49-F238E27FC236}">
                  <a16:creationId xmlns:a16="http://schemas.microsoft.com/office/drawing/2014/main" id="{710F403C-29D1-384D-B68F-362C77D29207}"/>
                </a:ext>
              </a:extLst>
            </xdr:cNvPr>
            <xdr:cNvSpPr txBox="1"/>
          </xdr:nvSpPr>
          <xdr:spPr>
            <a:xfrm>
              <a:off x="13522879609" y="111265952"/>
              <a:ext cx="95002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15%</a:t>
              </a:r>
              <a:endParaRPr lang="en-US" sz="1100"/>
            </a:p>
          </xdr:txBody>
        </xdr:sp>
      </mc:Fallback>
    </mc:AlternateContent>
    <xdr:clientData/>
  </xdr:oneCellAnchor>
  <xdr:oneCellAnchor>
    <xdr:from>
      <xdr:col>7</xdr:col>
      <xdr:colOff>463889</xdr:colOff>
      <xdr:row>71</xdr:row>
      <xdr:rowOff>47442</xdr:rowOff>
    </xdr:from>
    <xdr:ext cx="855477" cy="895683"/>
    <xdr:pic>
      <xdr:nvPicPr>
        <xdr:cNvPr id="95" name="Picture 94">
          <a:extLst>
            <a:ext uri="{FF2B5EF4-FFF2-40B4-BE49-F238E27FC236}">
              <a16:creationId xmlns:a16="http://schemas.microsoft.com/office/drawing/2014/main" id="{FC46FD12-A439-1041-B7D2-AD56B7B8B8AE}"/>
            </a:ext>
          </a:extLst>
        </xdr:cNvPr>
        <xdr:cNvPicPr>
          <a:picLocks noChangeAspect="1"/>
        </xdr:cNvPicPr>
      </xdr:nvPicPr>
      <xdr:blipFill>
        <a:blip xmlns:r="http://schemas.openxmlformats.org/officeDocument/2006/relationships" r:embed="rId1"/>
        <a:stretch>
          <a:fillRect/>
        </a:stretch>
      </xdr:blipFill>
      <xdr:spPr>
        <a:xfrm>
          <a:off x="13517894134" y="95462542"/>
          <a:ext cx="855477" cy="895683"/>
        </a:xfrm>
        <a:prstGeom prst="rect">
          <a:avLst/>
        </a:prstGeom>
      </xdr:spPr>
    </xdr:pic>
    <xdr:clientData/>
  </xdr:oneCellAnchor>
  <xdr:twoCellAnchor>
    <xdr:from>
      <xdr:col>7</xdr:col>
      <xdr:colOff>224509</xdr:colOff>
      <xdr:row>71</xdr:row>
      <xdr:rowOff>80287</xdr:rowOff>
    </xdr:from>
    <xdr:to>
      <xdr:col>8</xdr:col>
      <xdr:colOff>463478</xdr:colOff>
      <xdr:row>76</xdr:row>
      <xdr:rowOff>81452</xdr:rowOff>
    </xdr:to>
    <xdr:sp macro="" textlink="">
      <xdr:nvSpPr>
        <xdr:cNvPr id="96" name="Freeform 95">
          <a:extLst>
            <a:ext uri="{FF2B5EF4-FFF2-40B4-BE49-F238E27FC236}">
              <a16:creationId xmlns:a16="http://schemas.microsoft.com/office/drawing/2014/main" id="{66AB7DA4-7C23-6647-8A52-3C2B9E7CDB07}"/>
            </a:ext>
          </a:extLst>
        </xdr:cNvPr>
        <xdr:cNvSpPr/>
      </xdr:nvSpPr>
      <xdr:spPr>
        <a:xfrm>
          <a:off x="13517924522" y="95495387"/>
          <a:ext cx="1064469" cy="1017165"/>
        </a:xfrm>
        <a:custGeom>
          <a:avLst/>
          <a:gdLst>
            <a:gd name="connsiteX0" fmla="*/ 481724 w 1063739"/>
            <a:gd name="connsiteY0" fmla="*/ 7299 h 1055849"/>
            <a:gd name="connsiteX1" fmla="*/ 499972 w 1063739"/>
            <a:gd name="connsiteY1" fmla="*/ 14598 h 1055849"/>
            <a:gd name="connsiteX2" fmla="*/ 554713 w 1063739"/>
            <a:gd name="connsiteY2" fmla="*/ 29196 h 1055849"/>
            <a:gd name="connsiteX3" fmla="*/ 580259 w 1063739"/>
            <a:gd name="connsiteY3" fmla="*/ 36495 h 1055849"/>
            <a:gd name="connsiteX4" fmla="*/ 616753 w 1063739"/>
            <a:gd name="connsiteY4" fmla="*/ 62041 h 1055849"/>
            <a:gd name="connsiteX5" fmla="*/ 653247 w 1063739"/>
            <a:gd name="connsiteY5" fmla="*/ 83937 h 1055849"/>
            <a:gd name="connsiteX6" fmla="*/ 671495 w 1063739"/>
            <a:gd name="connsiteY6" fmla="*/ 94886 h 1055849"/>
            <a:gd name="connsiteX7" fmla="*/ 697041 w 1063739"/>
            <a:gd name="connsiteY7" fmla="*/ 116782 h 1055849"/>
            <a:gd name="connsiteX8" fmla="*/ 726236 w 1063739"/>
            <a:gd name="connsiteY8" fmla="*/ 149627 h 1055849"/>
            <a:gd name="connsiteX9" fmla="*/ 737184 w 1063739"/>
            <a:gd name="connsiteY9" fmla="*/ 160575 h 1055849"/>
            <a:gd name="connsiteX10" fmla="*/ 762730 w 1063739"/>
            <a:gd name="connsiteY10" fmla="*/ 193420 h 1055849"/>
            <a:gd name="connsiteX11" fmla="*/ 770029 w 1063739"/>
            <a:gd name="connsiteY11" fmla="*/ 204368 h 1055849"/>
            <a:gd name="connsiteX12" fmla="*/ 791926 w 1063739"/>
            <a:gd name="connsiteY12" fmla="*/ 240863 h 1055849"/>
            <a:gd name="connsiteX13" fmla="*/ 802874 w 1063739"/>
            <a:gd name="connsiteY13" fmla="*/ 259110 h 1055849"/>
            <a:gd name="connsiteX14" fmla="*/ 824770 w 1063739"/>
            <a:gd name="connsiteY14" fmla="*/ 291954 h 1055849"/>
            <a:gd name="connsiteX15" fmla="*/ 832069 w 1063739"/>
            <a:gd name="connsiteY15" fmla="*/ 310202 h 1055849"/>
            <a:gd name="connsiteX16" fmla="*/ 839368 w 1063739"/>
            <a:gd name="connsiteY16" fmla="*/ 324799 h 1055849"/>
            <a:gd name="connsiteX17" fmla="*/ 846667 w 1063739"/>
            <a:gd name="connsiteY17" fmla="*/ 343046 h 1055849"/>
            <a:gd name="connsiteX18" fmla="*/ 857615 w 1063739"/>
            <a:gd name="connsiteY18" fmla="*/ 361294 h 1055849"/>
            <a:gd name="connsiteX19" fmla="*/ 864914 w 1063739"/>
            <a:gd name="connsiteY19" fmla="*/ 375891 h 1055849"/>
            <a:gd name="connsiteX20" fmla="*/ 872213 w 1063739"/>
            <a:gd name="connsiteY20" fmla="*/ 408736 h 1055849"/>
            <a:gd name="connsiteX21" fmla="*/ 875862 w 1063739"/>
            <a:gd name="connsiteY21" fmla="*/ 426983 h 1055849"/>
            <a:gd name="connsiteX22" fmla="*/ 883161 w 1063739"/>
            <a:gd name="connsiteY22" fmla="*/ 445230 h 1055849"/>
            <a:gd name="connsiteX23" fmla="*/ 886811 w 1063739"/>
            <a:gd name="connsiteY23" fmla="*/ 467127 h 1055849"/>
            <a:gd name="connsiteX24" fmla="*/ 901408 w 1063739"/>
            <a:gd name="connsiteY24" fmla="*/ 525518 h 1055849"/>
            <a:gd name="connsiteX25" fmla="*/ 912357 w 1063739"/>
            <a:gd name="connsiteY25" fmla="*/ 572960 h 1055849"/>
            <a:gd name="connsiteX26" fmla="*/ 916006 w 1063739"/>
            <a:gd name="connsiteY26" fmla="*/ 594857 h 1055849"/>
            <a:gd name="connsiteX27" fmla="*/ 930604 w 1063739"/>
            <a:gd name="connsiteY27" fmla="*/ 656897 h 1055849"/>
            <a:gd name="connsiteX28" fmla="*/ 934253 w 1063739"/>
            <a:gd name="connsiteY28" fmla="*/ 682443 h 1055849"/>
            <a:gd name="connsiteX29" fmla="*/ 937903 w 1063739"/>
            <a:gd name="connsiteY29" fmla="*/ 729886 h 1055849"/>
            <a:gd name="connsiteX30" fmla="*/ 941552 w 1063739"/>
            <a:gd name="connsiteY30" fmla="*/ 744483 h 1055849"/>
            <a:gd name="connsiteX31" fmla="*/ 948851 w 1063739"/>
            <a:gd name="connsiteY31" fmla="*/ 810173 h 1055849"/>
            <a:gd name="connsiteX32" fmla="*/ 945201 w 1063739"/>
            <a:gd name="connsiteY32" fmla="*/ 780977 h 1055849"/>
            <a:gd name="connsiteX33" fmla="*/ 937903 w 1063739"/>
            <a:gd name="connsiteY33" fmla="*/ 770029 h 1055849"/>
            <a:gd name="connsiteX34" fmla="*/ 923305 w 1063739"/>
            <a:gd name="connsiteY34" fmla="*/ 737184 h 1055849"/>
            <a:gd name="connsiteX35" fmla="*/ 912357 w 1063739"/>
            <a:gd name="connsiteY35" fmla="*/ 704340 h 1055849"/>
            <a:gd name="connsiteX36" fmla="*/ 897759 w 1063739"/>
            <a:gd name="connsiteY36" fmla="*/ 642299 h 1055849"/>
            <a:gd name="connsiteX37" fmla="*/ 886811 w 1063739"/>
            <a:gd name="connsiteY37" fmla="*/ 609454 h 1055849"/>
            <a:gd name="connsiteX38" fmla="*/ 850316 w 1063739"/>
            <a:gd name="connsiteY38" fmla="*/ 525518 h 1055849"/>
            <a:gd name="connsiteX39" fmla="*/ 806523 w 1063739"/>
            <a:gd name="connsiteY39" fmla="*/ 405087 h 1055849"/>
            <a:gd name="connsiteX40" fmla="*/ 799224 w 1063739"/>
            <a:gd name="connsiteY40" fmla="*/ 386840 h 1055849"/>
            <a:gd name="connsiteX41" fmla="*/ 780977 w 1063739"/>
            <a:gd name="connsiteY41" fmla="*/ 357644 h 1055849"/>
            <a:gd name="connsiteX42" fmla="*/ 773678 w 1063739"/>
            <a:gd name="connsiteY42" fmla="*/ 339397 h 1055849"/>
            <a:gd name="connsiteX43" fmla="*/ 759081 w 1063739"/>
            <a:gd name="connsiteY43" fmla="*/ 317500 h 1055849"/>
            <a:gd name="connsiteX44" fmla="*/ 729885 w 1063739"/>
            <a:gd name="connsiteY44" fmla="*/ 262759 h 1055849"/>
            <a:gd name="connsiteX45" fmla="*/ 715288 w 1063739"/>
            <a:gd name="connsiteY45" fmla="*/ 237213 h 1055849"/>
            <a:gd name="connsiteX46" fmla="*/ 700690 w 1063739"/>
            <a:gd name="connsiteY46" fmla="*/ 200719 h 1055849"/>
            <a:gd name="connsiteX47" fmla="*/ 664196 w 1063739"/>
            <a:gd name="connsiteY47" fmla="*/ 138679 h 1055849"/>
            <a:gd name="connsiteX48" fmla="*/ 642299 w 1063739"/>
            <a:gd name="connsiteY48" fmla="*/ 102184 h 1055849"/>
            <a:gd name="connsiteX49" fmla="*/ 631351 w 1063739"/>
            <a:gd name="connsiteY49" fmla="*/ 94886 h 1055849"/>
            <a:gd name="connsiteX50" fmla="*/ 583908 w 1063739"/>
            <a:gd name="connsiteY50" fmla="*/ 91236 h 1055849"/>
            <a:gd name="connsiteX51" fmla="*/ 554713 w 1063739"/>
            <a:gd name="connsiteY51" fmla="*/ 76638 h 1055849"/>
            <a:gd name="connsiteX52" fmla="*/ 532816 w 1063739"/>
            <a:gd name="connsiteY52" fmla="*/ 62041 h 1055849"/>
            <a:gd name="connsiteX53" fmla="*/ 521868 w 1063739"/>
            <a:gd name="connsiteY53" fmla="*/ 54742 h 1055849"/>
            <a:gd name="connsiteX54" fmla="*/ 507270 w 1063739"/>
            <a:gd name="connsiteY54" fmla="*/ 47443 h 1055849"/>
            <a:gd name="connsiteX55" fmla="*/ 499972 w 1063739"/>
            <a:gd name="connsiteY55" fmla="*/ 36495 h 1055849"/>
            <a:gd name="connsiteX56" fmla="*/ 510920 w 1063739"/>
            <a:gd name="connsiteY56" fmla="*/ 29196 h 1055849"/>
            <a:gd name="connsiteX57" fmla="*/ 540115 w 1063739"/>
            <a:gd name="connsiteY57" fmla="*/ 40144 h 1055849"/>
            <a:gd name="connsiteX58" fmla="*/ 565661 w 1063739"/>
            <a:gd name="connsiteY58" fmla="*/ 62041 h 1055849"/>
            <a:gd name="connsiteX59" fmla="*/ 580259 w 1063739"/>
            <a:gd name="connsiteY59" fmla="*/ 72989 h 1055849"/>
            <a:gd name="connsiteX60" fmla="*/ 642299 w 1063739"/>
            <a:gd name="connsiteY60" fmla="*/ 120432 h 1055849"/>
            <a:gd name="connsiteX61" fmla="*/ 675144 w 1063739"/>
            <a:gd name="connsiteY61" fmla="*/ 156926 h 1055849"/>
            <a:gd name="connsiteX62" fmla="*/ 689742 w 1063739"/>
            <a:gd name="connsiteY62" fmla="*/ 175173 h 1055849"/>
            <a:gd name="connsiteX63" fmla="*/ 711638 w 1063739"/>
            <a:gd name="connsiteY63" fmla="*/ 197069 h 1055849"/>
            <a:gd name="connsiteX64" fmla="*/ 729885 w 1063739"/>
            <a:gd name="connsiteY64" fmla="*/ 222615 h 1055849"/>
            <a:gd name="connsiteX65" fmla="*/ 748132 w 1063739"/>
            <a:gd name="connsiteY65" fmla="*/ 244512 h 1055849"/>
            <a:gd name="connsiteX66" fmla="*/ 762730 w 1063739"/>
            <a:gd name="connsiteY66" fmla="*/ 270058 h 1055849"/>
            <a:gd name="connsiteX67" fmla="*/ 784627 w 1063739"/>
            <a:gd name="connsiteY67" fmla="*/ 306552 h 1055849"/>
            <a:gd name="connsiteX68" fmla="*/ 799224 w 1063739"/>
            <a:gd name="connsiteY68" fmla="*/ 350345 h 1055849"/>
            <a:gd name="connsiteX69" fmla="*/ 806523 w 1063739"/>
            <a:gd name="connsiteY69" fmla="*/ 372242 h 1055849"/>
            <a:gd name="connsiteX70" fmla="*/ 813822 w 1063739"/>
            <a:gd name="connsiteY70" fmla="*/ 401437 h 1055849"/>
            <a:gd name="connsiteX71" fmla="*/ 835719 w 1063739"/>
            <a:gd name="connsiteY71" fmla="*/ 467127 h 1055849"/>
            <a:gd name="connsiteX72" fmla="*/ 853966 w 1063739"/>
            <a:gd name="connsiteY72" fmla="*/ 536466 h 1055849"/>
            <a:gd name="connsiteX73" fmla="*/ 868564 w 1063739"/>
            <a:gd name="connsiteY73" fmla="*/ 605805 h 1055849"/>
            <a:gd name="connsiteX74" fmla="*/ 879512 w 1063739"/>
            <a:gd name="connsiteY74" fmla="*/ 653248 h 1055849"/>
            <a:gd name="connsiteX75" fmla="*/ 894109 w 1063739"/>
            <a:gd name="connsiteY75" fmla="*/ 748133 h 1055849"/>
            <a:gd name="connsiteX76" fmla="*/ 905058 w 1063739"/>
            <a:gd name="connsiteY76" fmla="*/ 806523 h 1055849"/>
            <a:gd name="connsiteX77" fmla="*/ 919655 w 1063739"/>
            <a:gd name="connsiteY77" fmla="*/ 908707 h 1055849"/>
            <a:gd name="connsiteX78" fmla="*/ 926954 w 1063739"/>
            <a:gd name="connsiteY78" fmla="*/ 945202 h 1055849"/>
            <a:gd name="connsiteX79" fmla="*/ 912357 w 1063739"/>
            <a:gd name="connsiteY79" fmla="*/ 923305 h 1055849"/>
            <a:gd name="connsiteX80" fmla="*/ 897759 w 1063739"/>
            <a:gd name="connsiteY80" fmla="*/ 883161 h 1055849"/>
            <a:gd name="connsiteX81" fmla="*/ 850316 w 1063739"/>
            <a:gd name="connsiteY81" fmla="*/ 766380 h 1055849"/>
            <a:gd name="connsiteX82" fmla="*/ 810173 w 1063739"/>
            <a:gd name="connsiteY82" fmla="*/ 656897 h 1055849"/>
            <a:gd name="connsiteX83" fmla="*/ 795575 w 1063739"/>
            <a:gd name="connsiteY83" fmla="*/ 605805 h 1055849"/>
            <a:gd name="connsiteX84" fmla="*/ 773678 w 1063739"/>
            <a:gd name="connsiteY84" fmla="*/ 518219 h 1055849"/>
            <a:gd name="connsiteX85" fmla="*/ 766380 w 1063739"/>
            <a:gd name="connsiteY85" fmla="*/ 485374 h 1055849"/>
            <a:gd name="connsiteX86" fmla="*/ 715288 w 1063739"/>
            <a:gd name="connsiteY86" fmla="*/ 368592 h 1055849"/>
            <a:gd name="connsiteX87" fmla="*/ 700690 w 1063739"/>
            <a:gd name="connsiteY87" fmla="*/ 335748 h 1055849"/>
            <a:gd name="connsiteX88" fmla="*/ 678793 w 1063739"/>
            <a:gd name="connsiteY88" fmla="*/ 310202 h 1055849"/>
            <a:gd name="connsiteX89" fmla="*/ 660546 w 1063739"/>
            <a:gd name="connsiteY89" fmla="*/ 284656 h 1055849"/>
            <a:gd name="connsiteX90" fmla="*/ 627701 w 1063739"/>
            <a:gd name="connsiteY90" fmla="*/ 244512 h 1055849"/>
            <a:gd name="connsiteX91" fmla="*/ 613104 w 1063739"/>
            <a:gd name="connsiteY91" fmla="*/ 218966 h 1055849"/>
            <a:gd name="connsiteX92" fmla="*/ 587558 w 1063739"/>
            <a:gd name="connsiteY92" fmla="*/ 193420 h 1055849"/>
            <a:gd name="connsiteX93" fmla="*/ 576609 w 1063739"/>
            <a:gd name="connsiteY93" fmla="*/ 182472 h 1055849"/>
            <a:gd name="connsiteX94" fmla="*/ 554713 w 1063739"/>
            <a:gd name="connsiteY94" fmla="*/ 142328 h 1055849"/>
            <a:gd name="connsiteX95" fmla="*/ 536466 w 1063739"/>
            <a:gd name="connsiteY95" fmla="*/ 105834 h 1055849"/>
            <a:gd name="connsiteX96" fmla="*/ 529167 w 1063739"/>
            <a:gd name="connsiteY96" fmla="*/ 83937 h 1055849"/>
            <a:gd name="connsiteX97" fmla="*/ 521868 w 1063739"/>
            <a:gd name="connsiteY97" fmla="*/ 65690 h 1055849"/>
            <a:gd name="connsiteX98" fmla="*/ 514569 w 1063739"/>
            <a:gd name="connsiteY98" fmla="*/ 40144 h 1055849"/>
            <a:gd name="connsiteX99" fmla="*/ 503621 w 1063739"/>
            <a:gd name="connsiteY99" fmla="*/ 29196 h 1055849"/>
            <a:gd name="connsiteX100" fmla="*/ 481724 w 1063739"/>
            <a:gd name="connsiteY100" fmla="*/ 14598 h 1055849"/>
            <a:gd name="connsiteX101" fmla="*/ 470776 w 1063739"/>
            <a:gd name="connsiteY101" fmla="*/ 7299 h 1055849"/>
            <a:gd name="connsiteX102" fmla="*/ 492673 w 1063739"/>
            <a:gd name="connsiteY102" fmla="*/ 18248 h 1055849"/>
            <a:gd name="connsiteX103" fmla="*/ 529167 w 1063739"/>
            <a:gd name="connsiteY103" fmla="*/ 62041 h 1055849"/>
            <a:gd name="connsiteX104" fmla="*/ 543765 w 1063739"/>
            <a:gd name="connsiteY104" fmla="*/ 80288 h 1055849"/>
            <a:gd name="connsiteX105" fmla="*/ 562012 w 1063739"/>
            <a:gd name="connsiteY105" fmla="*/ 98535 h 1055849"/>
            <a:gd name="connsiteX106" fmla="*/ 605805 w 1063739"/>
            <a:gd name="connsiteY106" fmla="*/ 149627 h 1055849"/>
            <a:gd name="connsiteX107" fmla="*/ 664196 w 1063739"/>
            <a:gd name="connsiteY107" fmla="*/ 222615 h 1055849"/>
            <a:gd name="connsiteX108" fmla="*/ 729885 w 1063739"/>
            <a:gd name="connsiteY108" fmla="*/ 332098 h 1055849"/>
            <a:gd name="connsiteX109" fmla="*/ 762730 w 1063739"/>
            <a:gd name="connsiteY109" fmla="*/ 386840 h 1055849"/>
            <a:gd name="connsiteX110" fmla="*/ 810173 w 1063739"/>
            <a:gd name="connsiteY110" fmla="*/ 499972 h 1055849"/>
            <a:gd name="connsiteX111" fmla="*/ 857615 w 1063739"/>
            <a:gd name="connsiteY111" fmla="*/ 624052 h 1055849"/>
            <a:gd name="connsiteX112" fmla="*/ 883161 w 1063739"/>
            <a:gd name="connsiteY112" fmla="*/ 740834 h 1055849"/>
            <a:gd name="connsiteX113" fmla="*/ 890460 w 1063739"/>
            <a:gd name="connsiteY113" fmla="*/ 795575 h 1055849"/>
            <a:gd name="connsiteX114" fmla="*/ 883161 w 1063739"/>
            <a:gd name="connsiteY114" fmla="*/ 926954 h 1055849"/>
            <a:gd name="connsiteX115" fmla="*/ 875862 w 1063739"/>
            <a:gd name="connsiteY115" fmla="*/ 952500 h 1055849"/>
            <a:gd name="connsiteX116" fmla="*/ 872213 w 1063739"/>
            <a:gd name="connsiteY116" fmla="*/ 967098 h 1055849"/>
            <a:gd name="connsiteX117" fmla="*/ 857615 w 1063739"/>
            <a:gd name="connsiteY117" fmla="*/ 901409 h 1055849"/>
            <a:gd name="connsiteX118" fmla="*/ 824770 w 1063739"/>
            <a:gd name="connsiteY118" fmla="*/ 799225 h 1055849"/>
            <a:gd name="connsiteX119" fmla="*/ 777328 w 1063739"/>
            <a:gd name="connsiteY119" fmla="*/ 664196 h 1055849"/>
            <a:gd name="connsiteX120" fmla="*/ 740834 w 1063739"/>
            <a:gd name="connsiteY120" fmla="*/ 514569 h 1055849"/>
            <a:gd name="connsiteX121" fmla="*/ 726236 w 1063739"/>
            <a:gd name="connsiteY121" fmla="*/ 452529 h 1055849"/>
            <a:gd name="connsiteX122" fmla="*/ 704339 w 1063739"/>
            <a:gd name="connsiteY122" fmla="*/ 379541 h 1055849"/>
            <a:gd name="connsiteX123" fmla="*/ 682443 w 1063739"/>
            <a:gd name="connsiteY123" fmla="*/ 343046 h 1055849"/>
            <a:gd name="connsiteX124" fmla="*/ 667845 w 1063739"/>
            <a:gd name="connsiteY124" fmla="*/ 328449 h 1055849"/>
            <a:gd name="connsiteX125" fmla="*/ 656897 w 1063739"/>
            <a:gd name="connsiteY125" fmla="*/ 310202 h 1055849"/>
            <a:gd name="connsiteX126" fmla="*/ 627701 w 1063739"/>
            <a:gd name="connsiteY126" fmla="*/ 266409 h 1055849"/>
            <a:gd name="connsiteX127" fmla="*/ 598506 w 1063739"/>
            <a:gd name="connsiteY127" fmla="*/ 222615 h 1055849"/>
            <a:gd name="connsiteX128" fmla="*/ 583908 w 1063739"/>
            <a:gd name="connsiteY128" fmla="*/ 208018 h 1055849"/>
            <a:gd name="connsiteX129" fmla="*/ 551064 w 1063739"/>
            <a:gd name="connsiteY129" fmla="*/ 167874 h 1055849"/>
            <a:gd name="connsiteX130" fmla="*/ 547414 w 1063739"/>
            <a:gd name="connsiteY130" fmla="*/ 156926 h 1055849"/>
            <a:gd name="connsiteX131" fmla="*/ 525518 w 1063739"/>
            <a:gd name="connsiteY131" fmla="*/ 131380 h 1055849"/>
            <a:gd name="connsiteX132" fmla="*/ 507270 w 1063739"/>
            <a:gd name="connsiteY132" fmla="*/ 116782 h 1055849"/>
            <a:gd name="connsiteX133" fmla="*/ 499972 w 1063739"/>
            <a:gd name="connsiteY133" fmla="*/ 105834 h 1055849"/>
            <a:gd name="connsiteX134" fmla="*/ 489023 w 1063739"/>
            <a:gd name="connsiteY134" fmla="*/ 91236 h 1055849"/>
            <a:gd name="connsiteX135" fmla="*/ 478075 w 1063739"/>
            <a:gd name="connsiteY135" fmla="*/ 83937 h 1055849"/>
            <a:gd name="connsiteX136" fmla="*/ 470776 w 1063739"/>
            <a:gd name="connsiteY136" fmla="*/ 72989 h 1055849"/>
            <a:gd name="connsiteX137" fmla="*/ 481724 w 1063739"/>
            <a:gd name="connsiteY137" fmla="*/ 76638 h 1055849"/>
            <a:gd name="connsiteX138" fmla="*/ 492673 w 1063739"/>
            <a:gd name="connsiteY138" fmla="*/ 83937 h 1055849"/>
            <a:gd name="connsiteX139" fmla="*/ 507270 w 1063739"/>
            <a:gd name="connsiteY139" fmla="*/ 105834 h 1055849"/>
            <a:gd name="connsiteX140" fmla="*/ 521868 w 1063739"/>
            <a:gd name="connsiteY140" fmla="*/ 135029 h 1055849"/>
            <a:gd name="connsiteX141" fmla="*/ 532816 w 1063739"/>
            <a:gd name="connsiteY141" fmla="*/ 149627 h 1055849"/>
            <a:gd name="connsiteX142" fmla="*/ 572960 w 1063739"/>
            <a:gd name="connsiteY142" fmla="*/ 197069 h 1055849"/>
            <a:gd name="connsiteX143" fmla="*/ 616753 w 1063739"/>
            <a:gd name="connsiteY143" fmla="*/ 270058 h 1055849"/>
            <a:gd name="connsiteX144" fmla="*/ 682443 w 1063739"/>
            <a:gd name="connsiteY144" fmla="*/ 383190 h 1055849"/>
            <a:gd name="connsiteX145" fmla="*/ 707989 w 1063739"/>
            <a:gd name="connsiteY145" fmla="*/ 430633 h 1055849"/>
            <a:gd name="connsiteX146" fmla="*/ 726236 w 1063739"/>
            <a:gd name="connsiteY146" fmla="*/ 478075 h 1055849"/>
            <a:gd name="connsiteX147" fmla="*/ 762730 w 1063739"/>
            <a:gd name="connsiteY147" fmla="*/ 576610 h 1055849"/>
            <a:gd name="connsiteX148" fmla="*/ 806523 w 1063739"/>
            <a:gd name="connsiteY148" fmla="*/ 707989 h 1055849"/>
            <a:gd name="connsiteX149" fmla="*/ 828420 w 1063739"/>
            <a:gd name="connsiteY149" fmla="*/ 791926 h 1055849"/>
            <a:gd name="connsiteX150" fmla="*/ 846667 w 1063739"/>
            <a:gd name="connsiteY150" fmla="*/ 861265 h 1055849"/>
            <a:gd name="connsiteX151" fmla="*/ 850316 w 1063739"/>
            <a:gd name="connsiteY151" fmla="*/ 890460 h 1055849"/>
            <a:gd name="connsiteX152" fmla="*/ 853966 w 1063739"/>
            <a:gd name="connsiteY152" fmla="*/ 901409 h 1055849"/>
            <a:gd name="connsiteX153" fmla="*/ 857615 w 1063739"/>
            <a:gd name="connsiteY153" fmla="*/ 916006 h 1055849"/>
            <a:gd name="connsiteX154" fmla="*/ 853966 w 1063739"/>
            <a:gd name="connsiteY154" fmla="*/ 996294 h 1055849"/>
            <a:gd name="connsiteX155" fmla="*/ 846667 w 1063739"/>
            <a:gd name="connsiteY155" fmla="*/ 967098 h 1055849"/>
            <a:gd name="connsiteX156" fmla="*/ 839368 w 1063739"/>
            <a:gd name="connsiteY156" fmla="*/ 952500 h 1055849"/>
            <a:gd name="connsiteX157" fmla="*/ 821121 w 1063739"/>
            <a:gd name="connsiteY157" fmla="*/ 894110 h 1055849"/>
            <a:gd name="connsiteX158" fmla="*/ 791926 w 1063739"/>
            <a:gd name="connsiteY158" fmla="*/ 828420 h 1055849"/>
            <a:gd name="connsiteX159" fmla="*/ 780977 w 1063739"/>
            <a:gd name="connsiteY159" fmla="*/ 791926 h 1055849"/>
            <a:gd name="connsiteX160" fmla="*/ 733535 w 1063739"/>
            <a:gd name="connsiteY160" fmla="*/ 645949 h 1055849"/>
            <a:gd name="connsiteX161" fmla="*/ 718937 w 1063739"/>
            <a:gd name="connsiteY161" fmla="*/ 580259 h 1055849"/>
            <a:gd name="connsiteX162" fmla="*/ 686092 w 1063739"/>
            <a:gd name="connsiteY162" fmla="*/ 437932 h 1055849"/>
            <a:gd name="connsiteX163" fmla="*/ 664196 w 1063739"/>
            <a:gd name="connsiteY163" fmla="*/ 390489 h 1055849"/>
            <a:gd name="connsiteX164" fmla="*/ 653247 w 1063739"/>
            <a:gd name="connsiteY164" fmla="*/ 364943 h 1055849"/>
            <a:gd name="connsiteX165" fmla="*/ 638650 w 1063739"/>
            <a:gd name="connsiteY165" fmla="*/ 335748 h 1055849"/>
            <a:gd name="connsiteX166" fmla="*/ 627701 w 1063739"/>
            <a:gd name="connsiteY166" fmla="*/ 310202 h 1055849"/>
            <a:gd name="connsiteX167" fmla="*/ 613104 w 1063739"/>
            <a:gd name="connsiteY167" fmla="*/ 266409 h 1055849"/>
            <a:gd name="connsiteX168" fmla="*/ 591207 w 1063739"/>
            <a:gd name="connsiteY168" fmla="*/ 229914 h 1055849"/>
            <a:gd name="connsiteX169" fmla="*/ 583908 w 1063739"/>
            <a:gd name="connsiteY169" fmla="*/ 218966 h 1055849"/>
            <a:gd name="connsiteX170" fmla="*/ 572960 w 1063739"/>
            <a:gd name="connsiteY170" fmla="*/ 208018 h 1055849"/>
            <a:gd name="connsiteX171" fmla="*/ 547414 w 1063739"/>
            <a:gd name="connsiteY171" fmla="*/ 167874 h 1055849"/>
            <a:gd name="connsiteX172" fmla="*/ 536466 w 1063739"/>
            <a:gd name="connsiteY172" fmla="*/ 153276 h 1055849"/>
            <a:gd name="connsiteX173" fmla="*/ 514569 w 1063739"/>
            <a:gd name="connsiteY173" fmla="*/ 105834 h 1055849"/>
            <a:gd name="connsiteX174" fmla="*/ 503621 w 1063739"/>
            <a:gd name="connsiteY174" fmla="*/ 94886 h 1055849"/>
            <a:gd name="connsiteX175" fmla="*/ 485374 w 1063739"/>
            <a:gd name="connsiteY175" fmla="*/ 69340 h 1055849"/>
            <a:gd name="connsiteX176" fmla="*/ 474426 w 1063739"/>
            <a:gd name="connsiteY176" fmla="*/ 65690 h 1055849"/>
            <a:gd name="connsiteX177" fmla="*/ 470776 w 1063739"/>
            <a:gd name="connsiteY177" fmla="*/ 91236 h 1055849"/>
            <a:gd name="connsiteX178" fmla="*/ 445230 w 1063739"/>
            <a:gd name="connsiteY178" fmla="*/ 116782 h 1055849"/>
            <a:gd name="connsiteX179" fmla="*/ 426983 w 1063739"/>
            <a:gd name="connsiteY179" fmla="*/ 131380 h 1055849"/>
            <a:gd name="connsiteX180" fmla="*/ 394138 w 1063739"/>
            <a:gd name="connsiteY180" fmla="*/ 160575 h 1055849"/>
            <a:gd name="connsiteX181" fmla="*/ 328449 w 1063739"/>
            <a:gd name="connsiteY181" fmla="*/ 215317 h 1055849"/>
            <a:gd name="connsiteX182" fmla="*/ 244512 w 1063739"/>
            <a:gd name="connsiteY182" fmla="*/ 324799 h 1055849"/>
            <a:gd name="connsiteX183" fmla="*/ 226265 w 1063739"/>
            <a:gd name="connsiteY183" fmla="*/ 357644 h 1055849"/>
            <a:gd name="connsiteX184" fmla="*/ 208018 w 1063739"/>
            <a:gd name="connsiteY184" fmla="*/ 386840 h 1055849"/>
            <a:gd name="connsiteX185" fmla="*/ 189770 w 1063739"/>
            <a:gd name="connsiteY185" fmla="*/ 426983 h 1055849"/>
            <a:gd name="connsiteX186" fmla="*/ 178822 w 1063739"/>
            <a:gd name="connsiteY186" fmla="*/ 448880 h 1055849"/>
            <a:gd name="connsiteX187" fmla="*/ 175173 w 1063739"/>
            <a:gd name="connsiteY187" fmla="*/ 467127 h 1055849"/>
            <a:gd name="connsiteX188" fmla="*/ 164224 w 1063739"/>
            <a:gd name="connsiteY188" fmla="*/ 499972 h 1055849"/>
            <a:gd name="connsiteX189" fmla="*/ 160575 w 1063739"/>
            <a:gd name="connsiteY189" fmla="*/ 525518 h 1055849"/>
            <a:gd name="connsiteX190" fmla="*/ 156926 w 1063739"/>
            <a:gd name="connsiteY190" fmla="*/ 547414 h 1055849"/>
            <a:gd name="connsiteX191" fmla="*/ 149627 w 1063739"/>
            <a:gd name="connsiteY191" fmla="*/ 583909 h 1055849"/>
            <a:gd name="connsiteX192" fmla="*/ 138678 w 1063739"/>
            <a:gd name="connsiteY192" fmla="*/ 631351 h 1055849"/>
            <a:gd name="connsiteX193" fmla="*/ 135029 w 1063739"/>
            <a:gd name="connsiteY193" fmla="*/ 656897 h 1055849"/>
            <a:gd name="connsiteX194" fmla="*/ 131380 w 1063739"/>
            <a:gd name="connsiteY194" fmla="*/ 686092 h 1055849"/>
            <a:gd name="connsiteX195" fmla="*/ 124081 w 1063739"/>
            <a:gd name="connsiteY195" fmla="*/ 715288 h 1055849"/>
            <a:gd name="connsiteX196" fmla="*/ 120431 w 1063739"/>
            <a:gd name="connsiteY196" fmla="*/ 740834 h 1055849"/>
            <a:gd name="connsiteX197" fmla="*/ 116782 w 1063739"/>
            <a:gd name="connsiteY197" fmla="*/ 762730 h 1055849"/>
            <a:gd name="connsiteX198" fmla="*/ 116782 w 1063739"/>
            <a:gd name="connsiteY198" fmla="*/ 978046 h 1055849"/>
            <a:gd name="connsiteX199" fmla="*/ 113132 w 1063739"/>
            <a:gd name="connsiteY199" fmla="*/ 934253 h 1055849"/>
            <a:gd name="connsiteX200" fmla="*/ 105834 w 1063739"/>
            <a:gd name="connsiteY200" fmla="*/ 912357 h 1055849"/>
            <a:gd name="connsiteX201" fmla="*/ 102184 w 1063739"/>
            <a:gd name="connsiteY201" fmla="*/ 890460 h 1055849"/>
            <a:gd name="connsiteX202" fmla="*/ 105834 w 1063739"/>
            <a:gd name="connsiteY202" fmla="*/ 780977 h 1055849"/>
            <a:gd name="connsiteX203" fmla="*/ 124081 w 1063739"/>
            <a:gd name="connsiteY203" fmla="*/ 697041 h 1055849"/>
            <a:gd name="connsiteX204" fmla="*/ 182472 w 1063739"/>
            <a:gd name="connsiteY204" fmla="*/ 503621 h 1055849"/>
            <a:gd name="connsiteX205" fmla="*/ 270058 w 1063739"/>
            <a:gd name="connsiteY205" fmla="*/ 277357 h 1055849"/>
            <a:gd name="connsiteX206" fmla="*/ 335747 w 1063739"/>
            <a:gd name="connsiteY206" fmla="*/ 167874 h 1055849"/>
            <a:gd name="connsiteX207" fmla="*/ 361293 w 1063739"/>
            <a:gd name="connsiteY207" fmla="*/ 116782 h 1055849"/>
            <a:gd name="connsiteX208" fmla="*/ 394138 w 1063739"/>
            <a:gd name="connsiteY208" fmla="*/ 72989 h 1055849"/>
            <a:gd name="connsiteX209" fmla="*/ 434282 w 1063739"/>
            <a:gd name="connsiteY209" fmla="*/ 58391 h 1055849"/>
            <a:gd name="connsiteX210" fmla="*/ 445230 w 1063739"/>
            <a:gd name="connsiteY210" fmla="*/ 54742 h 1055849"/>
            <a:gd name="connsiteX211" fmla="*/ 426983 w 1063739"/>
            <a:gd name="connsiteY211" fmla="*/ 69340 h 1055849"/>
            <a:gd name="connsiteX212" fmla="*/ 379541 w 1063739"/>
            <a:gd name="connsiteY212" fmla="*/ 91236 h 1055849"/>
            <a:gd name="connsiteX213" fmla="*/ 361293 w 1063739"/>
            <a:gd name="connsiteY213" fmla="*/ 102184 h 1055849"/>
            <a:gd name="connsiteX214" fmla="*/ 339397 w 1063739"/>
            <a:gd name="connsiteY214" fmla="*/ 116782 h 1055849"/>
            <a:gd name="connsiteX215" fmla="*/ 313851 w 1063739"/>
            <a:gd name="connsiteY215" fmla="*/ 145977 h 1055849"/>
            <a:gd name="connsiteX216" fmla="*/ 281006 w 1063739"/>
            <a:gd name="connsiteY216" fmla="*/ 178822 h 1055849"/>
            <a:gd name="connsiteX217" fmla="*/ 248161 w 1063739"/>
            <a:gd name="connsiteY217" fmla="*/ 222615 h 1055849"/>
            <a:gd name="connsiteX218" fmla="*/ 186121 w 1063739"/>
            <a:gd name="connsiteY218" fmla="*/ 321150 h 1055849"/>
            <a:gd name="connsiteX219" fmla="*/ 175173 w 1063739"/>
            <a:gd name="connsiteY219" fmla="*/ 346696 h 1055849"/>
            <a:gd name="connsiteX220" fmla="*/ 167874 w 1063739"/>
            <a:gd name="connsiteY220" fmla="*/ 361294 h 1055849"/>
            <a:gd name="connsiteX221" fmla="*/ 164224 w 1063739"/>
            <a:gd name="connsiteY221" fmla="*/ 375891 h 1055849"/>
            <a:gd name="connsiteX222" fmla="*/ 160575 w 1063739"/>
            <a:gd name="connsiteY222" fmla="*/ 386840 h 1055849"/>
            <a:gd name="connsiteX223" fmla="*/ 142328 w 1063739"/>
            <a:gd name="connsiteY223" fmla="*/ 474426 h 1055849"/>
            <a:gd name="connsiteX224" fmla="*/ 127730 w 1063739"/>
            <a:gd name="connsiteY224" fmla="*/ 543765 h 1055849"/>
            <a:gd name="connsiteX225" fmla="*/ 124081 w 1063739"/>
            <a:gd name="connsiteY225" fmla="*/ 576610 h 1055849"/>
            <a:gd name="connsiteX226" fmla="*/ 120431 w 1063739"/>
            <a:gd name="connsiteY226" fmla="*/ 602156 h 1055849"/>
            <a:gd name="connsiteX227" fmla="*/ 113132 w 1063739"/>
            <a:gd name="connsiteY227" fmla="*/ 671495 h 1055849"/>
            <a:gd name="connsiteX228" fmla="*/ 109483 w 1063739"/>
            <a:gd name="connsiteY228" fmla="*/ 821121 h 1055849"/>
            <a:gd name="connsiteX229" fmla="*/ 113132 w 1063739"/>
            <a:gd name="connsiteY229" fmla="*/ 916006 h 1055849"/>
            <a:gd name="connsiteX230" fmla="*/ 120431 w 1063739"/>
            <a:gd name="connsiteY230" fmla="*/ 715288 h 1055849"/>
            <a:gd name="connsiteX231" fmla="*/ 142328 w 1063739"/>
            <a:gd name="connsiteY231" fmla="*/ 616753 h 1055849"/>
            <a:gd name="connsiteX232" fmla="*/ 149627 w 1063739"/>
            <a:gd name="connsiteY232" fmla="*/ 580259 h 1055849"/>
            <a:gd name="connsiteX233" fmla="*/ 171523 w 1063739"/>
            <a:gd name="connsiteY233" fmla="*/ 525518 h 1055849"/>
            <a:gd name="connsiteX234" fmla="*/ 186121 w 1063739"/>
            <a:gd name="connsiteY234" fmla="*/ 485374 h 1055849"/>
            <a:gd name="connsiteX235" fmla="*/ 197069 w 1063739"/>
            <a:gd name="connsiteY235" fmla="*/ 467127 h 1055849"/>
            <a:gd name="connsiteX236" fmla="*/ 215316 w 1063739"/>
            <a:gd name="connsiteY236" fmla="*/ 412386 h 1055849"/>
            <a:gd name="connsiteX237" fmla="*/ 233564 w 1063739"/>
            <a:gd name="connsiteY237" fmla="*/ 375891 h 1055849"/>
            <a:gd name="connsiteX238" fmla="*/ 266408 w 1063739"/>
            <a:gd name="connsiteY238" fmla="*/ 302903 h 1055849"/>
            <a:gd name="connsiteX239" fmla="*/ 284655 w 1063739"/>
            <a:gd name="connsiteY239" fmla="*/ 284656 h 1055849"/>
            <a:gd name="connsiteX240" fmla="*/ 302903 w 1063739"/>
            <a:gd name="connsiteY240" fmla="*/ 262759 h 1055849"/>
            <a:gd name="connsiteX241" fmla="*/ 350345 w 1063739"/>
            <a:gd name="connsiteY241" fmla="*/ 200719 h 1055849"/>
            <a:gd name="connsiteX242" fmla="*/ 416035 w 1063739"/>
            <a:gd name="connsiteY242" fmla="*/ 120432 h 1055849"/>
            <a:gd name="connsiteX243" fmla="*/ 426983 w 1063739"/>
            <a:gd name="connsiteY243" fmla="*/ 109483 h 1055849"/>
            <a:gd name="connsiteX244" fmla="*/ 445230 w 1063739"/>
            <a:gd name="connsiteY244" fmla="*/ 105834 h 1055849"/>
            <a:gd name="connsiteX245" fmla="*/ 456178 w 1063739"/>
            <a:gd name="connsiteY245" fmla="*/ 98535 h 1055849"/>
            <a:gd name="connsiteX246" fmla="*/ 470776 w 1063739"/>
            <a:gd name="connsiteY246" fmla="*/ 87587 h 1055849"/>
            <a:gd name="connsiteX247" fmla="*/ 445230 w 1063739"/>
            <a:gd name="connsiteY247" fmla="*/ 94886 h 1055849"/>
            <a:gd name="connsiteX248" fmla="*/ 423334 w 1063739"/>
            <a:gd name="connsiteY248" fmla="*/ 116782 h 1055849"/>
            <a:gd name="connsiteX249" fmla="*/ 412385 w 1063739"/>
            <a:gd name="connsiteY249" fmla="*/ 124081 h 1055849"/>
            <a:gd name="connsiteX250" fmla="*/ 394138 w 1063739"/>
            <a:gd name="connsiteY250" fmla="*/ 138679 h 1055849"/>
            <a:gd name="connsiteX251" fmla="*/ 372242 w 1063739"/>
            <a:gd name="connsiteY251" fmla="*/ 160575 h 1055849"/>
            <a:gd name="connsiteX252" fmla="*/ 339397 w 1063739"/>
            <a:gd name="connsiteY252" fmla="*/ 189771 h 1055849"/>
            <a:gd name="connsiteX253" fmla="*/ 237213 w 1063739"/>
            <a:gd name="connsiteY253" fmla="*/ 302903 h 1055849"/>
            <a:gd name="connsiteX254" fmla="*/ 105834 w 1063739"/>
            <a:gd name="connsiteY254" fmla="*/ 478075 h 1055849"/>
            <a:gd name="connsiteX255" fmla="*/ 51092 w 1063739"/>
            <a:gd name="connsiteY255" fmla="*/ 580259 h 1055849"/>
            <a:gd name="connsiteX256" fmla="*/ 43793 w 1063739"/>
            <a:gd name="connsiteY256" fmla="*/ 602156 h 1055849"/>
            <a:gd name="connsiteX257" fmla="*/ 40144 w 1063739"/>
            <a:gd name="connsiteY257" fmla="*/ 624052 h 1055849"/>
            <a:gd name="connsiteX258" fmla="*/ 36495 w 1063739"/>
            <a:gd name="connsiteY258" fmla="*/ 638650 h 1055849"/>
            <a:gd name="connsiteX259" fmla="*/ 32845 w 1063739"/>
            <a:gd name="connsiteY259" fmla="*/ 693391 h 1055849"/>
            <a:gd name="connsiteX260" fmla="*/ 29196 w 1063739"/>
            <a:gd name="connsiteY260" fmla="*/ 740834 h 1055849"/>
            <a:gd name="connsiteX261" fmla="*/ 36495 w 1063739"/>
            <a:gd name="connsiteY261" fmla="*/ 832069 h 1055849"/>
            <a:gd name="connsiteX262" fmla="*/ 43793 w 1063739"/>
            <a:gd name="connsiteY262" fmla="*/ 890460 h 1055849"/>
            <a:gd name="connsiteX263" fmla="*/ 47443 w 1063739"/>
            <a:gd name="connsiteY263" fmla="*/ 956150 h 1055849"/>
            <a:gd name="connsiteX264" fmla="*/ 51092 w 1063739"/>
            <a:gd name="connsiteY264" fmla="*/ 941552 h 1055849"/>
            <a:gd name="connsiteX265" fmla="*/ 47443 w 1063739"/>
            <a:gd name="connsiteY265" fmla="*/ 905058 h 1055849"/>
            <a:gd name="connsiteX266" fmla="*/ 51092 w 1063739"/>
            <a:gd name="connsiteY266" fmla="*/ 737184 h 1055849"/>
            <a:gd name="connsiteX267" fmla="*/ 72989 w 1063739"/>
            <a:gd name="connsiteY267" fmla="*/ 675144 h 1055849"/>
            <a:gd name="connsiteX268" fmla="*/ 120431 w 1063739"/>
            <a:gd name="connsiteY268" fmla="*/ 547414 h 1055849"/>
            <a:gd name="connsiteX269" fmla="*/ 145977 w 1063739"/>
            <a:gd name="connsiteY269" fmla="*/ 481725 h 1055849"/>
            <a:gd name="connsiteX270" fmla="*/ 153276 w 1063739"/>
            <a:gd name="connsiteY270" fmla="*/ 459828 h 1055849"/>
            <a:gd name="connsiteX271" fmla="*/ 160575 w 1063739"/>
            <a:gd name="connsiteY271" fmla="*/ 441581 h 1055849"/>
            <a:gd name="connsiteX272" fmla="*/ 175173 w 1063739"/>
            <a:gd name="connsiteY272" fmla="*/ 390489 h 1055849"/>
            <a:gd name="connsiteX273" fmla="*/ 270058 w 1063739"/>
            <a:gd name="connsiteY273" fmla="*/ 200719 h 1055849"/>
            <a:gd name="connsiteX274" fmla="*/ 313851 w 1063739"/>
            <a:gd name="connsiteY274" fmla="*/ 138679 h 1055849"/>
            <a:gd name="connsiteX275" fmla="*/ 353995 w 1063739"/>
            <a:gd name="connsiteY275" fmla="*/ 87587 h 1055849"/>
            <a:gd name="connsiteX276" fmla="*/ 375891 w 1063739"/>
            <a:gd name="connsiteY276" fmla="*/ 69340 h 1055849"/>
            <a:gd name="connsiteX277" fmla="*/ 416035 w 1063739"/>
            <a:gd name="connsiteY277" fmla="*/ 29196 h 1055849"/>
            <a:gd name="connsiteX278" fmla="*/ 441581 w 1063739"/>
            <a:gd name="connsiteY278" fmla="*/ 3650 h 1055849"/>
            <a:gd name="connsiteX279" fmla="*/ 452529 w 1063739"/>
            <a:gd name="connsiteY279" fmla="*/ 0 h 1055849"/>
            <a:gd name="connsiteX280" fmla="*/ 463477 w 1063739"/>
            <a:gd name="connsiteY280" fmla="*/ 3650 h 1055849"/>
            <a:gd name="connsiteX281" fmla="*/ 452529 w 1063739"/>
            <a:gd name="connsiteY281" fmla="*/ 10949 h 1055849"/>
            <a:gd name="connsiteX282" fmla="*/ 416035 w 1063739"/>
            <a:gd name="connsiteY282" fmla="*/ 18248 h 1055849"/>
            <a:gd name="connsiteX283" fmla="*/ 372242 w 1063739"/>
            <a:gd name="connsiteY283" fmla="*/ 54742 h 1055849"/>
            <a:gd name="connsiteX284" fmla="*/ 361293 w 1063739"/>
            <a:gd name="connsiteY284" fmla="*/ 65690 h 1055849"/>
            <a:gd name="connsiteX285" fmla="*/ 350345 w 1063739"/>
            <a:gd name="connsiteY285" fmla="*/ 80288 h 1055849"/>
            <a:gd name="connsiteX286" fmla="*/ 339397 w 1063739"/>
            <a:gd name="connsiteY286" fmla="*/ 98535 h 1055849"/>
            <a:gd name="connsiteX287" fmla="*/ 321150 w 1063739"/>
            <a:gd name="connsiteY287" fmla="*/ 120432 h 1055849"/>
            <a:gd name="connsiteX288" fmla="*/ 244512 w 1063739"/>
            <a:gd name="connsiteY288" fmla="*/ 240863 h 1055849"/>
            <a:gd name="connsiteX289" fmla="*/ 208018 w 1063739"/>
            <a:gd name="connsiteY289" fmla="*/ 310202 h 1055849"/>
            <a:gd name="connsiteX290" fmla="*/ 193420 w 1063739"/>
            <a:gd name="connsiteY290" fmla="*/ 335748 h 1055849"/>
            <a:gd name="connsiteX291" fmla="*/ 186121 w 1063739"/>
            <a:gd name="connsiteY291" fmla="*/ 361294 h 1055849"/>
            <a:gd name="connsiteX292" fmla="*/ 178822 w 1063739"/>
            <a:gd name="connsiteY292" fmla="*/ 379541 h 1055849"/>
            <a:gd name="connsiteX293" fmla="*/ 175173 w 1063739"/>
            <a:gd name="connsiteY293" fmla="*/ 397788 h 1055849"/>
            <a:gd name="connsiteX294" fmla="*/ 167874 w 1063739"/>
            <a:gd name="connsiteY294" fmla="*/ 426983 h 1055849"/>
            <a:gd name="connsiteX295" fmla="*/ 164224 w 1063739"/>
            <a:gd name="connsiteY295" fmla="*/ 445230 h 1055849"/>
            <a:gd name="connsiteX296" fmla="*/ 160575 w 1063739"/>
            <a:gd name="connsiteY296" fmla="*/ 467127 h 1055849"/>
            <a:gd name="connsiteX297" fmla="*/ 145977 w 1063739"/>
            <a:gd name="connsiteY297" fmla="*/ 532817 h 1055849"/>
            <a:gd name="connsiteX298" fmla="*/ 138678 w 1063739"/>
            <a:gd name="connsiteY298" fmla="*/ 562012 h 1055849"/>
            <a:gd name="connsiteX299" fmla="*/ 131380 w 1063739"/>
            <a:gd name="connsiteY299" fmla="*/ 598506 h 1055849"/>
            <a:gd name="connsiteX300" fmla="*/ 120431 w 1063739"/>
            <a:gd name="connsiteY300" fmla="*/ 635000 h 1055849"/>
            <a:gd name="connsiteX301" fmla="*/ 113132 w 1063739"/>
            <a:gd name="connsiteY301" fmla="*/ 671495 h 1055849"/>
            <a:gd name="connsiteX302" fmla="*/ 102184 w 1063739"/>
            <a:gd name="connsiteY302" fmla="*/ 718937 h 1055849"/>
            <a:gd name="connsiteX303" fmla="*/ 91236 w 1063739"/>
            <a:gd name="connsiteY303" fmla="*/ 773679 h 1055849"/>
            <a:gd name="connsiteX304" fmla="*/ 76638 w 1063739"/>
            <a:gd name="connsiteY304" fmla="*/ 828420 h 1055849"/>
            <a:gd name="connsiteX305" fmla="*/ 51092 w 1063739"/>
            <a:gd name="connsiteY305" fmla="*/ 970748 h 1055849"/>
            <a:gd name="connsiteX306" fmla="*/ 40144 w 1063739"/>
            <a:gd name="connsiteY306" fmla="*/ 1036437 h 1055849"/>
            <a:gd name="connsiteX307" fmla="*/ 36495 w 1063739"/>
            <a:gd name="connsiteY307" fmla="*/ 1054684 h 1055849"/>
            <a:gd name="connsiteX308" fmla="*/ 40144 w 1063739"/>
            <a:gd name="connsiteY308" fmla="*/ 1043736 h 1055849"/>
            <a:gd name="connsiteX309" fmla="*/ 36495 w 1063739"/>
            <a:gd name="connsiteY309" fmla="*/ 999943 h 1055849"/>
            <a:gd name="connsiteX310" fmla="*/ 29196 w 1063739"/>
            <a:gd name="connsiteY310" fmla="*/ 985345 h 1055849"/>
            <a:gd name="connsiteX311" fmla="*/ 21897 w 1063739"/>
            <a:gd name="connsiteY311" fmla="*/ 967098 h 1055849"/>
            <a:gd name="connsiteX312" fmla="*/ 14598 w 1063739"/>
            <a:gd name="connsiteY312" fmla="*/ 956150 h 1055849"/>
            <a:gd name="connsiteX313" fmla="*/ 3650 w 1063739"/>
            <a:gd name="connsiteY313" fmla="*/ 923305 h 1055849"/>
            <a:gd name="connsiteX314" fmla="*/ 0 w 1063739"/>
            <a:gd name="connsiteY314" fmla="*/ 897759 h 1055849"/>
            <a:gd name="connsiteX315" fmla="*/ 7299 w 1063739"/>
            <a:gd name="connsiteY315" fmla="*/ 700690 h 1055849"/>
            <a:gd name="connsiteX316" fmla="*/ 10949 w 1063739"/>
            <a:gd name="connsiteY316" fmla="*/ 671495 h 1055849"/>
            <a:gd name="connsiteX317" fmla="*/ 18247 w 1063739"/>
            <a:gd name="connsiteY317" fmla="*/ 649598 h 1055849"/>
            <a:gd name="connsiteX318" fmla="*/ 21897 w 1063739"/>
            <a:gd name="connsiteY318" fmla="*/ 631351 h 1055849"/>
            <a:gd name="connsiteX319" fmla="*/ 32845 w 1063739"/>
            <a:gd name="connsiteY319" fmla="*/ 605805 h 1055849"/>
            <a:gd name="connsiteX320" fmla="*/ 54742 w 1063739"/>
            <a:gd name="connsiteY320" fmla="*/ 547414 h 1055849"/>
            <a:gd name="connsiteX321" fmla="*/ 65690 w 1063739"/>
            <a:gd name="connsiteY321" fmla="*/ 521868 h 1055849"/>
            <a:gd name="connsiteX322" fmla="*/ 80288 w 1063739"/>
            <a:gd name="connsiteY322" fmla="*/ 478075 h 1055849"/>
            <a:gd name="connsiteX323" fmla="*/ 87586 w 1063739"/>
            <a:gd name="connsiteY323" fmla="*/ 459828 h 1055849"/>
            <a:gd name="connsiteX324" fmla="*/ 113132 w 1063739"/>
            <a:gd name="connsiteY324" fmla="*/ 419684 h 1055849"/>
            <a:gd name="connsiteX325" fmla="*/ 135029 w 1063739"/>
            <a:gd name="connsiteY325" fmla="*/ 379541 h 1055849"/>
            <a:gd name="connsiteX326" fmla="*/ 160575 w 1063739"/>
            <a:gd name="connsiteY326" fmla="*/ 339397 h 1055849"/>
            <a:gd name="connsiteX327" fmla="*/ 186121 w 1063739"/>
            <a:gd name="connsiteY327" fmla="*/ 288305 h 1055849"/>
            <a:gd name="connsiteX328" fmla="*/ 208018 w 1063739"/>
            <a:gd name="connsiteY328" fmla="*/ 259110 h 1055849"/>
            <a:gd name="connsiteX329" fmla="*/ 218966 w 1063739"/>
            <a:gd name="connsiteY329" fmla="*/ 248161 h 1055849"/>
            <a:gd name="connsiteX330" fmla="*/ 229914 w 1063739"/>
            <a:gd name="connsiteY330" fmla="*/ 229914 h 1055849"/>
            <a:gd name="connsiteX331" fmla="*/ 248161 w 1063739"/>
            <a:gd name="connsiteY331" fmla="*/ 208018 h 1055849"/>
            <a:gd name="connsiteX332" fmla="*/ 291954 w 1063739"/>
            <a:gd name="connsiteY332" fmla="*/ 149627 h 1055849"/>
            <a:gd name="connsiteX333" fmla="*/ 372242 w 1063739"/>
            <a:gd name="connsiteY333" fmla="*/ 62041 h 1055849"/>
            <a:gd name="connsiteX334" fmla="*/ 386839 w 1063739"/>
            <a:gd name="connsiteY334" fmla="*/ 51092 h 1055849"/>
            <a:gd name="connsiteX335" fmla="*/ 430632 w 1063739"/>
            <a:gd name="connsiteY335" fmla="*/ 32845 h 1055849"/>
            <a:gd name="connsiteX336" fmla="*/ 445230 w 1063739"/>
            <a:gd name="connsiteY336" fmla="*/ 25546 h 1055849"/>
            <a:gd name="connsiteX337" fmla="*/ 485374 w 1063739"/>
            <a:gd name="connsiteY337" fmla="*/ 32845 h 1055849"/>
            <a:gd name="connsiteX338" fmla="*/ 503621 w 1063739"/>
            <a:gd name="connsiteY338" fmla="*/ 40144 h 1055849"/>
            <a:gd name="connsiteX339" fmla="*/ 514569 w 1063739"/>
            <a:gd name="connsiteY339" fmla="*/ 43794 h 1055849"/>
            <a:gd name="connsiteX340" fmla="*/ 536466 w 1063739"/>
            <a:gd name="connsiteY340" fmla="*/ 54742 h 1055849"/>
            <a:gd name="connsiteX341" fmla="*/ 565661 w 1063739"/>
            <a:gd name="connsiteY341" fmla="*/ 72989 h 1055849"/>
            <a:gd name="connsiteX342" fmla="*/ 591207 w 1063739"/>
            <a:gd name="connsiteY342" fmla="*/ 94886 h 1055849"/>
            <a:gd name="connsiteX343" fmla="*/ 627701 w 1063739"/>
            <a:gd name="connsiteY343" fmla="*/ 120432 h 1055849"/>
            <a:gd name="connsiteX344" fmla="*/ 664196 w 1063739"/>
            <a:gd name="connsiteY344" fmla="*/ 156926 h 1055849"/>
            <a:gd name="connsiteX345" fmla="*/ 682443 w 1063739"/>
            <a:gd name="connsiteY345" fmla="*/ 175173 h 1055849"/>
            <a:gd name="connsiteX346" fmla="*/ 693391 w 1063739"/>
            <a:gd name="connsiteY346" fmla="*/ 189771 h 1055849"/>
            <a:gd name="connsiteX347" fmla="*/ 711638 w 1063739"/>
            <a:gd name="connsiteY347" fmla="*/ 208018 h 1055849"/>
            <a:gd name="connsiteX348" fmla="*/ 748132 w 1063739"/>
            <a:gd name="connsiteY348" fmla="*/ 251811 h 1055849"/>
            <a:gd name="connsiteX349" fmla="*/ 766380 w 1063739"/>
            <a:gd name="connsiteY349" fmla="*/ 273707 h 1055849"/>
            <a:gd name="connsiteX350" fmla="*/ 784627 w 1063739"/>
            <a:gd name="connsiteY350" fmla="*/ 299253 h 1055849"/>
            <a:gd name="connsiteX351" fmla="*/ 817472 w 1063739"/>
            <a:gd name="connsiteY351" fmla="*/ 353995 h 1055849"/>
            <a:gd name="connsiteX352" fmla="*/ 832069 w 1063739"/>
            <a:gd name="connsiteY352" fmla="*/ 372242 h 1055849"/>
            <a:gd name="connsiteX353" fmla="*/ 879512 w 1063739"/>
            <a:gd name="connsiteY353" fmla="*/ 474426 h 1055849"/>
            <a:gd name="connsiteX354" fmla="*/ 894109 w 1063739"/>
            <a:gd name="connsiteY354" fmla="*/ 503621 h 1055849"/>
            <a:gd name="connsiteX355" fmla="*/ 905058 w 1063739"/>
            <a:gd name="connsiteY355" fmla="*/ 532817 h 1055849"/>
            <a:gd name="connsiteX356" fmla="*/ 930604 w 1063739"/>
            <a:gd name="connsiteY356" fmla="*/ 583909 h 1055849"/>
            <a:gd name="connsiteX357" fmla="*/ 941552 w 1063739"/>
            <a:gd name="connsiteY357" fmla="*/ 613104 h 1055849"/>
            <a:gd name="connsiteX358" fmla="*/ 956150 w 1063739"/>
            <a:gd name="connsiteY358" fmla="*/ 645949 h 1055849"/>
            <a:gd name="connsiteX359" fmla="*/ 963449 w 1063739"/>
            <a:gd name="connsiteY359" fmla="*/ 671495 h 1055849"/>
            <a:gd name="connsiteX360" fmla="*/ 974397 w 1063739"/>
            <a:gd name="connsiteY360" fmla="*/ 693391 h 1055849"/>
            <a:gd name="connsiteX361" fmla="*/ 988995 w 1063739"/>
            <a:gd name="connsiteY361" fmla="*/ 740834 h 1055849"/>
            <a:gd name="connsiteX362" fmla="*/ 996293 w 1063739"/>
            <a:gd name="connsiteY362" fmla="*/ 751782 h 1055849"/>
            <a:gd name="connsiteX363" fmla="*/ 1007242 w 1063739"/>
            <a:gd name="connsiteY363" fmla="*/ 802874 h 1055849"/>
            <a:gd name="connsiteX364" fmla="*/ 1018190 w 1063739"/>
            <a:gd name="connsiteY364" fmla="*/ 828420 h 1055849"/>
            <a:gd name="connsiteX365" fmla="*/ 1036437 w 1063739"/>
            <a:gd name="connsiteY365" fmla="*/ 890460 h 1055849"/>
            <a:gd name="connsiteX366" fmla="*/ 1036437 w 1063739"/>
            <a:gd name="connsiteY366" fmla="*/ 890460 h 1055849"/>
            <a:gd name="connsiteX367" fmla="*/ 1040086 w 1063739"/>
            <a:gd name="connsiteY367" fmla="*/ 905058 h 1055849"/>
            <a:gd name="connsiteX368" fmla="*/ 1051035 w 1063739"/>
            <a:gd name="connsiteY368" fmla="*/ 926954 h 1055849"/>
            <a:gd name="connsiteX369" fmla="*/ 1054684 w 1063739"/>
            <a:gd name="connsiteY369" fmla="*/ 948851 h 1055849"/>
            <a:gd name="connsiteX370" fmla="*/ 1061983 w 1063739"/>
            <a:gd name="connsiteY370" fmla="*/ 978046 h 1055849"/>
            <a:gd name="connsiteX371" fmla="*/ 1051035 w 1063739"/>
            <a:gd name="connsiteY371" fmla="*/ 963449 h 1055849"/>
            <a:gd name="connsiteX372" fmla="*/ 1036437 w 1063739"/>
            <a:gd name="connsiteY372" fmla="*/ 926954 h 1055849"/>
            <a:gd name="connsiteX373" fmla="*/ 1029138 w 1063739"/>
            <a:gd name="connsiteY373" fmla="*/ 912357 h 1055849"/>
            <a:gd name="connsiteX374" fmla="*/ 1007242 w 1063739"/>
            <a:gd name="connsiteY374" fmla="*/ 861265 h 1055849"/>
            <a:gd name="connsiteX375" fmla="*/ 999943 w 1063739"/>
            <a:gd name="connsiteY375" fmla="*/ 846667 h 1055849"/>
            <a:gd name="connsiteX376" fmla="*/ 985345 w 1063739"/>
            <a:gd name="connsiteY376" fmla="*/ 828420 h 1055849"/>
            <a:gd name="connsiteX377" fmla="*/ 974397 w 1063739"/>
            <a:gd name="connsiteY377" fmla="*/ 806523 h 1055849"/>
            <a:gd name="connsiteX378" fmla="*/ 963449 w 1063739"/>
            <a:gd name="connsiteY378" fmla="*/ 788276 h 1055849"/>
            <a:gd name="connsiteX379" fmla="*/ 952500 w 1063739"/>
            <a:gd name="connsiteY379" fmla="*/ 766380 h 1055849"/>
            <a:gd name="connsiteX380" fmla="*/ 934253 w 1063739"/>
            <a:gd name="connsiteY380" fmla="*/ 740834 h 1055849"/>
            <a:gd name="connsiteX381" fmla="*/ 916006 w 1063739"/>
            <a:gd name="connsiteY381" fmla="*/ 704340 h 1055849"/>
            <a:gd name="connsiteX382" fmla="*/ 846667 w 1063739"/>
            <a:gd name="connsiteY382" fmla="*/ 576610 h 1055849"/>
            <a:gd name="connsiteX383" fmla="*/ 817472 w 1063739"/>
            <a:gd name="connsiteY383" fmla="*/ 521868 h 1055849"/>
            <a:gd name="connsiteX384" fmla="*/ 788276 w 1063739"/>
            <a:gd name="connsiteY384" fmla="*/ 470776 h 1055849"/>
            <a:gd name="connsiteX385" fmla="*/ 780977 w 1063739"/>
            <a:gd name="connsiteY385" fmla="*/ 459828 h 1055849"/>
            <a:gd name="connsiteX386" fmla="*/ 773678 w 1063739"/>
            <a:gd name="connsiteY386" fmla="*/ 445230 h 1055849"/>
            <a:gd name="connsiteX387" fmla="*/ 762730 w 1063739"/>
            <a:gd name="connsiteY387" fmla="*/ 426983 h 1055849"/>
            <a:gd name="connsiteX388" fmla="*/ 751782 w 1063739"/>
            <a:gd name="connsiteY388" fmla="*/ 394138 h 1055849"/>
            <a:gd name="connsiteX389" fmla="*/ 729885 w 1063739"/>
            <a:gd name="connsiteY389" fmla="*/ 317500 h 1055849"/>
            <a:gd name="connsiteX390" fmla="*/ 718937 w 1063739"/>
            <a:gd name="connsiteY390" fmla="*/ 284656 h 1055849"/>
            <a:gd name="connsiteX391" fmla="*/ 689742 w 1063739"/>
            <a:gd name="connsiteY391" fmla="*/ 226265 h 1055849"/>
            <a:gd name="connsiteX392" fmla="*/ 675144 w 1063739"/>
            <a:gd name="connsiteY392" fmla="*/ 197069 h 1055849"/>
            <a:gd name="connsiteX393" fmla="*/ 649598 w 1063739"/>
            <a:gd name="connsiteY393" fmla="*/ 138679 h 1055849"/>
            <a:gd name="connsiteX394" fmla="*/ 631351 w 1063739"/>
            <a:gd name="connsiteY394" fmla="*/ 105834 h 1055849"/>
            <a:gd name="connsiteX395" fmla="*/ 605805 w 1063739"/>
            <a:gd name="connsiteY395" fmla="*/ 80288 h 1055849"/>
            <a:gd name="connsiteX396" fmla="*/ 598506 w 1063739"/>
            <a:gd name="connsiteY396" fmla="*/ 69340 h 1055849"/>
            <a:gd name="connsiteX397" fmla="*/ 576609 w 1063739"/>
            <a:gd name="connsiteY397" fmla="*/ 54742 h 1055849"/>
            <a:gd name="connsiteX398" fmla="*/ 562012 w 1063739"/>
            <a:gd name="connsiteY398" fmla="*/ 51092 h 1055849"/>
            <a:gd name="connsiteX399" fmla="*/ 540115 w 1063739"/>
            <a:gd name="connsiteY399" fmla="*/ 43794 h 1055849"/>
            <a:gd name="connsiteX400" fmla="*/ 521868 w 1063739"/>
            <a:gd name="connsiteY400" fmla="*/ 47443 h 1055849"/>
            <a:gd name="connsiteX401" fmla="*/ 510920 w 1063739"/>
            <a:gd name="connsiteY401" fmla="*/ 54742 h 1055849"/>
            <a:gd name="connsiteX402" fmla="*/ 467127 w 1063739"/>
            <a:gd name="connsiteY402" fmla="*/ 69340 h 1055849"/>
            <a:gd name="connsiteX403" fmla="*/ 434282 w 1063739"/>
            <a:gd name="connsiteY403" fmla="*/ 91236 h 1055849"/>
            <a:gd name="connsiteX404" fmla="*/ 397788 w 1063739"/>
            <a:gd name="connsiteY404" fmla="*/ 142328 h 1055849"/>
            <a:gd name="connsiteX405" fmla="*/ 386839 w 1063739"/>
            <a:gd name="connsiteY405" fmla="*/ 156926 h 1055849"/>
            <a:gd name="connsiteX406" fmla="*/ 335747 w 1063739"/>
            <a:gd name="connsiteY406" fmla="*/ 215317 h 1055849"/>
            <a:gd name="connsiteX407" fmla="*/ 317500 w 1063739"/>
            <a:gd name="connsiteY407" fmla="*/ 244512 h 1055849"/>
            <a:gd name="connsiteX408" fmla="*/ 284655 w 1063739"/>
            <a:gd name="connsiteY408" fmla="*/ 291954 h 1055849"/>
            <a:gd name="connsiteX409" fmla="*/ 270058 w 1063739"/>
            <a:gd name="connsiteY409" fmla="*/ 321150 h 1055849"/>
            <a:gd name="connsiteX410" fmla="*/ 262759 w 1063739"/>
            <a:gd name="connsiteY410" fmla="*/ 332098 h 1055849"/>
            <a:gd name="connsiteX411" fmla="*/ 244512 w 1063739"/>
            <a:gd name="connsiteY411" fmla="*/ 361294 h 1055849"/>
            <a:gd name="connsiteX412" fmla="*/ 237213 w 1063739"/>
            <a:gd name="connsiteY412" fmla="*/ 383190 h 1055849"/>
            <a:gd name="connsiteX413" fmla="*/ 215316 w 1063739"/>
            <a:gd name="connsiteY413" fmla="*/ 419684 h 1055849"/>
            <a:gd name="connsiteX414" fmla="*/ 200719 w 1063739"/>
            <a:gd name="connsiteY414" fmla="*/ 456179 h 1055849"/>
            <a:gd name="connsiteX415" fmla="*/ 193420 w 1063739"/>
            <a:gd name="connsiteY415" fmla="*/ 474426 h 1055849"/>
            <a:gd name="connsiteX416" fmla="*/ 186121 w 1063739"/>
            <a:gd name="connsiteY416" fmla="*/ 496322 h 1055849"/>
            <a:gd name="connsiteX417" fmla="*/ 178822 w 1063739"/>
            <a:gd name="connsiteY417" fmla="*/ 514569 h 1055849"/>
            <a:gd name="connsiteX418" fmla="*/ 164224 w 1063739"/>
            <a:gd name="connsiteY418" fmla="*/ 558363 h 1055849"/>
            <a:gd name="connsiteX419" fmla="*/ 160575 w 1063739"/>
            <a:gd name="connsiteY419" fmla="*/ 580259 h 1055849"/>
            <a:gd name="connsiteX420" fmla="*/ 153276 w 1063739"/>
            <a:gd name="connsiteY420" fmla="*/ 598506 h 1055849"/>
            <a:gd name="connsiteX421" fmla="*/ 145977 w 1063739"/>
            <a:gd name="connsiteY421" fmla="*/ 620403 h 1055849"/>
            <a:gd name="connsiteX422" fmla="*/ 142328 w 1063739"/>
            <a:gd name="connsiteY422" fmla="*/ 631351 h 1055849"/>
            <a:gd name="connsiteX423" fmla="*/ 138678 w 1063739"/>
            <a:gd name="connsiteY423" fmla="*/ 645949 h 1055849"/>
            <a:gd name="connsiteX424" fmla="*/ 131380 w 1063739"/>
            <a:gd name="connsiteY424" fmla="*/ 667845 h 1055849"/>
            <a:gd name="connsiteX425" fmla="*/ 127730 w 1063739"/>
            <a:gd name="connsiteY425" fmla="*/ 689742 h 1055849"/>
            <a:gd name="connsiteX426" fmla="*/ 113132 w 1063739"/>
            <a:gd name="connsiteY426" fmla="*/ 733535 h 1055849"/>
            <a:gd name="connsiteX427" fmla="*/ 109483 w 1063739"/>
            <a:gd name="connsiteY427" fmla="*/ 759081 h 1055849"/>
            <a:gd name="connsiteX428" fmla="*/ 102184 w 1063739"/>
            <a:gd name="connsiteY428" fmla="*/ 777328 h 1055849"/>
            <a:gd name="connsiteX429" fmla="*/ 87586 w 1063739"/>
            <a:gd name="connsiteY429" fmla="*/ 846667 h 1055849"/>
            <a:gd name="connsiteX430" fmla="*/ 80288 w 1063739"/>
            <a:gd name="connsiteY430" fmla="*/ 875863 h 1055849"/>
            <a:gd name="connsiteX431" fmla="*/ 72989 w 1063739"/>
            <a:gd name="connsiteY431" fmla="*/ 886811 h 1055849"/>
            <a:gd name="connsiteX432" fmla="*/ 65690 w 1063739"/>
            <a:gd name="connsiteY432" fmla="*/ 908707 h 1055849"/>
            <a:gd name="connsiteX433" fmla="*/ 62041 w 1063739"/>
            <a:gd name="connsiteY433" fmla="*/ 890460 h 1055849"/>
            <a:gd name="connsiteX434" fmla="*/ 58391 w 1063739"/>
            <a:gd name="connsiteY434" fmla="*/ 850317 h 1055849"/>
            <a:gd name="connsiteX435" fmla="*/ 54742 w 1063739"/>
            <a:gd name="connsiteY435" fmla="*/ 821121 h 1055849"/>
            <a:gd name="connsiteX436" fmla="*/ 62041 w 1063739"/>
            <a:gd name="connsiteY436" fmla="*/ 693391 h 1055849"/>
            <a:gd name="connsiteX437" fmla="*/ 83937 w 1063739"/>
            <a:gd name="connsiteY437" fmla="*/ 591207 h 1055849"/>
            <a:gd name="connsiteX438" fmla="*/ 113132 w 1063739"/>
            <a:gd name="connsiteY438" fmla="*/ 496322 h 1055849"/>
            <a:gd name="connsiteX439" fmla="*/ 156926 w 1063739"/>
            <a:gd name="connsiteY439" fmla="*/ 397788 h 1055849"/>
            <a:gd name="connsiteX440" fmla="*/ 193420 w 1063739"/>
            <a:gd name="connsiteY440" fmla="*/ 313851 h 1055849"/>
            <a:gd name="connsiteX441" fmla="*/ 208018 w 1063739"/>
            <a:gd name="connsiteY441" fmla="*/ 277357 h 1055849"/>
            <a:gd name="connsiteX442" fmla="*/ 226265 w 1063739"/>
            <a:gd name="connsiteY442" fmla="*/ 251811 h 1055849"/>
            <a:gd name="connsiteX443" fmla="*/ 259109 w 1063739"/>
            <a:gd name="connsiteY443" fmla="*/ 197069 h 1055849"/>
            <a:gd name="connsiteX444" fmla="*/ 281006 w 1063739"/>
            <a:gd name="connsiteY444" fmla="*/ 171523 h 1055849"/>
            <a:gd name="connsiteX445" fmla="*/ 353995 w 1063739"/>
            <a:gd name="connsiteY445" fmla="*/ 62041 h 1055849"/>
            <a:gd name="connsiteX446" fmla="*/ 386839 w 1063739"/>
            <a:gd name="connsiteY446" fmla="*/ 29196 h 1055849"/>
            <a:gd name="connsiteX447" fmla="*/ 397788 w 1063739"/>
            <a:gd name="connsiteY447" fmla="*/ 25546 h 1055849"/>
            <a:gd name="connsiteX448" fmla="*/ 547414 w 1063739"/>
            <a:gd name="connsiteY448" fmla="*/ 32845 h 1055849"/>
            <a:gd name="connsiteX449" fmla="*/ 558362 w 1063739"/>
            <a:gd name="connsiteY449" fmla="*/ 40144 h 1055849"/>
            <a:gd name="connsiteX450" fmla="*/ 569311 w 1063739"/>
            <a:gd name="connsiteY450" fmla="*/ 43794 h 1055849"/>
            <a:gd name="connsiteX451" fmla="*/ 576609 w 1063739"/>
            <a:gd name="connsiteY451" fmla="*/ 54742 h 1055849"/>
            <a:gd name="connsiteX452" fmla="*/ 598506 w 1063739"/>
            <a:gd name="connsiteY452" fmla="*/ 80288 h 1055849"/>
            <a:gd name="connsiteX453" fmla="*/ 631351 w 1063739"/>
            <a:gd name="connsiteY453" fmla="*/ 135029 h 1055849"/>
            <a:gd name="connsiteX454" fmla="*/ 642299 w 1063739"/>
            <a:gd name="connsiteY454" fmla="*/ 153276 h 1055849"/>
            <a:gd name="connsiteX455" fmla="*/ 653247 w 1063739"/>
            <a:gd name="connsiteY455" fmla="*/ 167874 h 1055849"/>
            <a:gd name="connsiteX456" fmla="*/ 656897 w 1063739"/>
            <a:gd name="connsiteY456" fmla="*/ 182472 h 1055849"/>
            <a:gd name="connsiteX457" fmla="*/ 664196 w 1063739"/>
            <a:gd name="connsiteY457" fmla="*/ 193420 h 1055849"/>
            <a:gd name="connsiteX458" fmla="*/ 682443 w 1063739"/>
            <a:gd name="connsiteY458" fmla="*/ 229914 h 1055849"/>
            <a:gd name="connsiteX459" fmla="*/ 722586 w 1063739"/>
            <a:gd name="connsiteY459" fmla="*/ 310202 h 1055849"/>
            <a:gd name="connsiteX460" fmla="*/ 737184 w 1063739"/>
            <a:gd name="connsiteY460" fmla="*/ 339397 h 1055849"/>
            <a:gd name="connsiteX461" fmla="*/ 755431 w 1063739"/>
            <a:gd name="connsiteY461" fmla="*/ 368592 h 1055849"/>
            <a:gd name="connsiteX462" fmla="*/ 766380 w 1063739"/>
            <a:gd name="connsiteY462" fmla="*/ 394138 h 1055849"/>
            <a:gd name="connsiteX463" fmla="*/ 780977 w 1063739"/>
            <a:gd name="connsiteY463" fmla="*/ 419684 h 1055849"/>
            <a:gd name="connsiteX464" fmla="*/ 832069 w 1063739"/>
            <a:gd name="connsiteY464" fmla="*/ 525518 h 1055849"/>
            <a:gd name="connsiteX465" fmla="*/ 846667 w 1063739"/>
            <a:gd name="connsiteY465" fmla="*/ 554713 h 1055849"/>
            <a:gd name="connsiteX466" fmla="*/ 857615 w 1063739"/>
            <a:gd name="connsiteY466" fmla="*/ 583909 h 1055849"/>
            <a:gd name="connsiteX467" fmla="*/ 868564 w 1063739"/>
            <a:gd name="connsiteY467" fmla="*/ 609454 h 1055849"/>
            <a:gd name="connsiteX468" fmla="*/ 890460 w 1063739"/>
            <a:gd name="connsiteY468" fmla="*/ 671495 h 1055849"/>
            <a:gd name="connsiteX469" fmla="*/ 905058 w 1063739"/>
            <a:gd name="connsiteY469" fmla="*/ 726236 h 1055849"/>
            <a:gd name="connsiteX470" fmla="*/ 912357 w 1063739"/>
            <a:gd name="connsiteY470" fmla="*/ 744483 h 1055849"/>
            <a:gd name="connsiteX471" fmla="*/ 919655 w 1063739"/>
            <a:gd name="connsiteY471" fmla="*/ 766380 h 1055849"/>
            <a:gd name="connsiteX472" fmla="*/ 926954 w 1063739"/>
            <a:gd name="connsiteY472" fmla="*/ 780977 h 1055849"/>
            <a:gd name="connsiteX473" fmla="*/ 941552 w 1063739"/>
            <a:gd name="connsiteY473" fmla="*/ 813822 h 1055849"/>
            <a:gd name="connsiteX474" fmla="*/ 945201 w 1063739"/>
            <a:gd name="connsiteY474" fmla="*/ 835719 h 1055849"/>
            <a:gd name="connsiteX475" fmla="*/ 948851 w 1063739"/>
            <a:gd name="connsiteY475" fmla="*/ 850317 h 1055849"/>
            <a:gd name="connsiteX476" fmla="*/ 952500 w 1063739"/>
            <a:gd name="connsiteY476" fmla="*/ 872213 h 1055849"/>
            <a:gd name="connsiteX477" fmla="*/ 956150 w 1063739"/>
            <a:gd name="connsiteY477" fmla="*/ 897759 h 1055849"/>
            <a:gd name="connsiteX478" fmla="*/ 959799 w 1063739"/>
            <a:gd name="connsiteY478" fmla="*/ 908707 h 1055849"/>
            <a:gd name="connsiteX479" fmla="*/ 963449 w 1063739"/>
            <a:gd name="connsiteY479" fmla="*/ 930604 h 1055849"/>
            <a:gd name="connsiteX480" fmla="*/ 967098 w 1063739"/>
            <a:gd name="connsiteY480" fmla="*/ 941552 h 1055849"/>
            <a:gd name="connsiteX481" fmla="*/ 970747 w 1063739"/>
            <a:gd name="connsiteY481" fmla="*/ 956150 h 1055849"/>
            <a:gd name="connsiteX482" fmla="*/ 974397 w 1063739"/>
            <a:gd name="connsiteY482" fmla="*/ 967098 h 1055849"/>
            <a:gd name="connsiteX483" fmla="*/ 981696 w 1063739"/>
            <a:gd name="connsiteY483" fmla="*/ 996294 h 1055849"/>
            <a:gd name="connsiteX484" fmla="*/ 981696 w 1063739"/>
            <a:gd name="connsiteY484" fmla="*/ 1047386 h 105584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 ang="0">
              <a:pos x="connsiteX382" y="connsiteY382"/>
            </a:cxn>
            <a:cxn ang="0">
              <a:pos x="connsiteX383" y="connsiteY383"/>
            </a:cxn>
            <a:cxn ang="0">
              <a:pos x="connsiteX384" y="connsiteY384"/>
            </a:cxn>
            <a:cxn ang="0">
              <a:pos x="connsiteX385" y="connsiteY385"/>
            </a:cxn>
            <a:cxn ang="0">
              <a:pos x="connsiteX386" y="connsiteY386"/>
            </a:cxn>
            <a:cxn ang="0">
              <a:pos x="connsiteX387" y="connsiteY387"/>
            </a:cxn>
            <a:cxn ang="0">
              <a:pos x="connsiteX388" y="connsiteY388"/>
            </a:cxn>
            <a:cxn ang="0">
              <a:pos x="connsiteX389" y="connsiteY389"/>
            </a:cxn>
            <a:cxn ang="0">
              <a:pos x="connsiteX390" y="connsiteY390"/>
            </a:cxn>
            <a:cxn ang="0">
              <a:pos x="connsiteX391" y="connsiteY391"/>
            </a:cxn>
            <a:cxn ang="0">
              <a:pos x="connsiteX392" y="connsiteY392"/>
            </a:cxn>
            <a:cxn ang="0">
              <a:pos x="connsiteX393" y="connsiteY393"/>
            </a:cxn>
            <a:cxn ang="0">
              <a:pos x="connsiteX394" y="connsiteY394"/>
            </a:cxn>
            <a:cxn ang="0">
              <a:pos x="connsiteX395" y="connsiteY395"/>
            </a:cxn>
            <a:cxn ang="0">
              <a:pos x="connsiteX396" y="connsiteY396"/>
            </a:cxn>
            <a:cxn ang="0">
              <a:pos x="connsiteX397" y="connsiteY397"/>
            </a:cxn>
            <a:cxn ang="0">
              <a:pos x="connsiteX398" y="connsiteY398"/>
            </a:cxn>
            <a:cxn ang="0">
              <a:pos x="connsiteX399" y="connsiteY399"/>
            </a:cxn>
            <a:cxn ang="0">
              <a:pos x="connsiteX400" y="connsiteY400"/>
            </a:cxn>
            <a:cxn ang="0">
              <a:pos x="connsiteX401" y="connsiteY401"/>
            </a:cxn>
            <a:cxn ang="0">
              <a:pos x="connsiteX402" y="connsiteY402"/>
            </a:cxn>
            <a:cxn ang="0">
              <a:pos x="connsiteX403" y="connsiteY403"/>
            </a:cxn>
            <a:cxn ang="0">
              <a:pos x="connsiteX404" y="connsiteY404"/>
            </a:cxn>
            <a:cxn ang="0">
              <a:pos x="connsiteX405" y="connsiteY405"/>
            </a:cxn>
            <a:cxn ang="0">
              <a:pos x="connsiteX406" y="connsiteY406"/>
            </a:cxn>
            <a:cxn ang="0">
              <a:pos x="connsiteX407" y="connsiteY407"/>
            </a:cxn>
            <a:cxn ang="0">
              <a:pos x="connsiteX408" y="connsiteY408"/>
            </a:cxn>
            <a:cxn ang="0">
              <a:pos x="connsiteX409" y="connsiteY409"/>
            </a:cxn>
            <a:cxn ang="0">
              <a:pos x="connsiteX410" y="connsiteY410"/>
            </a:cxn>
            <a:cxn ang="0">
              <a:pos x="connsiteX411" y="connsiteY411"/>
            </a:cxn>
            <a:cxn ang="0">
              <a:pos x="connsiteX412" y="connsiteY412"/>
            </a:cxn>
            <a:cxn ang="0">
              <a:pos x="connsiteX413" y="connsiteY413"/>
            </a:cxn>
            <a:cxn ang="0">
              <a:pos x="connsiteX414" y="connsiteY414"/>
            </a:cxn>
            <a:cxn ang="0">
              <a:pos x="connsiteX415" y="connsiteY415"/>
            </a:cxn>
            <a:cxn ang="0">
              <a:pos x="connsiteX416" y="connsiteY416"/>
            </a:cxn>
            <a:cxn ang="0">
              <a:pos x="connsiteX417" y="connsiteY417"/>
            </a:cxn>
            <a:cxn ang="0">
              <a:pos x="connsiteX418" y="connsiteY418"/>
            </a:cxn>
            <a:cxn ang="0">
              <a:pos x="connsiteX419" y="connsiteY419"/>
            </a:cxn>
            <a:cxn ang="0">
              <a:pos x="connsiteX420" y="connsiteY420"/>
            </a:cxn>
            <a:cxn ang="0">
              <a:pos x="connsiteX421" y="connsiteY421"/>
            </a:cxn>
            <a:cxn ang="0">
              <a:pos x="connsiteX422" y="connsiteY422"/>
            </a:cxn>
            <a:cxn ang="0">
              <a:pos x="connsiteX423" y="connsiteY423"/>
            </a:cxn>
            <a:cxn ang="0">
              <a:pos x="connsiteX424" y="connsiteY424"/>
            </a:cxn>
            <a:cxn ang="0">
              <a:pos x="connsiteX425" y="connsiteY425"/>
            </a:cxn>
            <a:cxn ang="0">
              <a:pos x="connsiteX426" y="connsiteY426"/>
            </a:cxn>
            <a:cxn ang="0">
              <a:pos x="connsiteX427" y="connsiteY427"/>
            </a:cxn>
            <a:cxn ang="0">
              <a:pos x="connsiteX428" y="connsiteY428"/>
            </a:cxn>
            <a:cxn ang="0">
              <a:pos x="connsiteX429" y="connsiteY429"/>
            </a:cxn>
            <a:cxn ang="0">
              <a:pos x="connsiteX430" y="connsiteY430"/>
            </a:cxn>
            <a:cxn ang="0">
              <a:pos x="connsiteX431" y="connsiteY431"/>
            </a:cxn>
            <a:cxn ang="0">
              <a:pos x="connsiteX432" y="connsiteY432"/>
            </a:cxn>
            <a:cxn ang="0">
              <a:pos x="connsiteX433" y="connsiteY433"/>
            </a:cxn>
            <a:cxn ang="0">
              <a:pos x="connsiteX434" y="connsiteY434"/>
            </a:cxn>
            <a:cxn ang="0">
              <a:pos x="connsiteX435" y="connsiteY435"/>
            </a:cxn>
            <a:cxn ang="0">
              <a:pos x="connsiteX436" y="connsiteY436"/>
            </a:cxn>
            <a:cxn ang="0">
              <a:pos x="connsiteX437" y="connsiteY437"/>
            </a:cxn>
            <a:cxn ang="0">
              <a:pos x="connsiteX438" y="connsiteY438"/>
            </a:cxn>
            <a:cxn ang="0">
              <a:pos x="connsiteX439" y="connsiteY439"/>
            </a:cxn>
            <a:cxn ang="0">
              <a:pos x="connsiteX440" y="connsiteY440"/>
            </a:cxn>
            <a:cxn ang="0">
              <a:pos x="connsiteX441" y="connsiteY441"/>
            </a:cxn>
            <a:cxn ang="0">
              <a:pos x="connsiteX442" y="connsiteY442"/>
            </a:cxn>
            <a:cxn ang="0">
              <a:pos x="connsiteX443" y="connsiteY443"/>
            </a:cxn>
            <a:cxn ang="0">
              <a:pos x="connsiteX444" y="connsiteY444"/>
            </a:cxn>
            <a:cxn ang="0">
              <a:pos x="connsiteX445" y="connsiteY445"/>
            </a:cxn>
            <a:cxn ang="0">
              <a:pos x="connsiteX446" y="connsiteY446"/>
            </a:cxn>
            <a:cxn ang="0">
              <a:pos x="connsiteX447" y="connsiteY447"/>
            </a:cxn>
            <a:cxn ang="0">
              <a:pos x="connsiteX448" y="connsiteY448"/>
            </a:cxn>
            <a:cxn ang="0">
              <a:pos x="connsiteX449" y="connsiteY449"/>
            </a:cxn>
            <a:cxn ang="0">
              <a:pos x="connsiteX450" y="connsiteY450"/>
            </a:cxn>
            <a:cxn ang="0">
              <a:pos x="connsiteX451" y="connsiteY451"/>
            </a:cxn>
            <a:cxn ang="0">
              <a:pos x="connsiteX452" y="connsiteY452"/>
            </a:cxn>
            <a:cxn ang="0">
              <a:pos x="connsiteX453" y="connsiteY453"/>
            </a:cxn>
            <a:cxn ang="0">
              <a:pos x="connsiteX454" y="connsiteY454"/>
            </a:cxn>
            <a:cxn ang="0">
              <a:pos x="connsiteX455" y="connsiteY455"/>
            </a:cxn>
            <a:cxn ang="0">
              <a:pos x="connsiteX456" y="connsiteY456"/>
            </a:cxn>
            <a:cxn ang="0">
              <a:pos x="connsiteX457" y="connsiteY457"/>
            </a:cxn>
            <a:cxn ang="0">
              <a:pos x="connsiteX458" y="connsiteY458"/>
            </a:cxn>
            <a:cxn ang="0">
              <a:pos x="connsiteX459" y="connsiteY459"/>
            </a:cxn>
            <a:cxn ang="0">
              <a:pos x="connsiteX460" y="connsiteY460"/>
            </a:cxn>
            <a:cxn ang="0">
              <a:pos x="connsiteX461" y="connsiteY461"/>
            </a:cxn>
            <a:cxn ang="0">
              <a:pos x="connsiteX462" y="connsiteY462"/>
            </a:cxn>
            <a:cxn ang="0">
              <a:pos x="connsiteX463" y="connsiteY463"/>
            </a:cxn>
            <a:cxn ang="0">
              <a:pos x="connsiteX464" y="connsiteY464"/>
            </a:cxn>
            <a:cxn ang="0">
              <a:pos x="connsiteX465" y="connsiteY465"/>
            </a:cxn>
            <a:cxn ang="0">
              <a:pos x="connsiteX466" y="connsiteY466"/>
            </a:cxn>
            <a:cxn ang="0">
              <a:pos x="connsiteX467" y="connsiteY467"/>
            </a:cxn>
            <a:cxn ang="0">
              <a:pos x="connsiteX468" y="connsiteY468"/>
            </a:cxn>
            <a:cxn ang="0">
              <a:pos x="connsiteX469" y="connsiteY469"/>
            </a:cxn>
            <a:cxn ang="0">
              <a:pos x="connsiteX470" y="connsiteY470"/>
            </a:cxn>
            <a:cxn ang="0">
              <a:pos x="connsiteX471" y="connsiteY471"/>
            </a:cxn>
            <a:cxn ang="0">
              <a:pos x="connsiteX472" y="connsiteY472"/>
            </a:cxn>
            <a:cxn ang="0">
              <a:pos x="connsiteX473" y="connsiteY473"/>
            </a:cxn>
            <a:cxn ang="0">
              <a:pos x="connsiteX474" y="connsiteY474"/>
            </a:cxn>
            <a:cxn ang="0">
              <a:pos x="connsiteX475" y="connsiteY475"/>
            </a:cxn>
            <a:cxn ang="0">
              <a:pos x="connsiteX476" y="connsiteY476"/>
            </a:cxn>
            <a:cxn ang="0">
              <a:pos x="connsiteX477" y="connsiteY477"/>
            </a:cxn>
            <a:cxn ang="0">
              <a:pos x="connsiteX478" y="connsiteY478"/>
            </a:cxn>
            <a:cxn ang="0">
              <a:pos x="connsiteX479" y="connsiteY479"/>
            </a:cxn>
            <a:cxn ang="0">
              <a:pos x="connsiteX480" y="connsiteY480"/>
            </a:cxn>
            <a:cxn ang="0">
              <a:pos x="connsiteX481" y="connsiteY481"/>
            </a:cxn>
            <a:cxn ang="0">
              <a:pos x="connsiteX482" y="connsiteY482"/>
            </a:cxn>
            <a:cxn ang="0">
              <a:pos x="connsiteX483" y="connsiteY483"/>
            </a:cxn>
            <a:cxn ang="0">
              <a:pos x="connsiteX484" y="connsiteY484"/>
            </a:cxn>
          </a:cxnLst>
          <a:rect l="l" t="t" r="r" b="b"/>
          <a:pathLst>
            <a:path w="1063739" h="1055849">
              <a:moveTo>
                <a:pt x="481724" y="7299"/>
              </a:moveTo>
              <a:cubicBezTo>
                <a:pt x="487807" y="9732"/>
                <a:pt x="493757" y="12526"/>
                <a:pt x="499972" y="14598"/>
              </a:cubicBezTo>
              <a:cubicBezTo>
                <a:pt x="515052" y="19625"/>
                <a:pt x="539706" y="25444"/>
                <a:pt x="554713" y="29196"/>
              </a:cubicBezTo>
              <a:cubicBezTo>
                <a:pt x="558155" y="30057"/>
                <a:pt x="575971" y="34113"/>
                <a:pt x="580259" y="36495"/>
              </a:cubicBezTo>
              <a:cubicBezTo>
                <a:pt x="611183" y="53675"/>
                <a:pt x="592387" y="46377"/>
                <a:pt x="616753" y="62041"/>
              </a:cubicBezTo>
              <a:cubicBezTo>
                <a:pt x="628686" y="69712"/>
                <a:pt x="641082" y="76638"/>
                <a:pt x="653247" y="83937"/>
              </a:cubicBezTo>
              <a:cubicBezTo>
                <a:pt x="659330" y="87587"/>
                <a:pt x="666479" y="89870"/>
                <a:pt x="671495" y="94886"/>
              </a:cubicBezTo>
              <a:cubicBezTo>
                <a:pt x="686744" y="110135"/>
                <a:pt x="678314" y="102738"/>
                <a:pt x="697041" y="116782"/>
              </a:cubicBezTo>
              <a:cubicBezTo>
                <a:pt x="710064" y="136319"/>
                <a:pt x="701238" y="124629"/>
                <a:pt x="726236" y="149627"/>
              </a:cubicBezTo>
              <a:cubicBezTo>
                <a:pt x="729885" y="153276"/>
                <a:pt x="734321" y="156281"/>
                <a:pt x="737184" y="160575"/>
              </a:cubicBezTo>
              <a:cubicBezTo>
                <a:pt x="774076" y="215913"/>
                <a:pt x="734147" y="159121"/>
                <a:pt x="762730" y="193420"/>
              </a:cubicBezTo>
              <a:cubicBezTo>
                <a:pt x="765538" y="196789"/>
                <a:pt x="767730" y="200633"/>
                <a:pt x="770029" y="204368"/>
              </a:cubicBezTo>
              <a:cubicBezTo>
                <a:pt x="777464" y="216450"/>
                <a:pt x="784627" y="228698"/>
                <a:pt x="791926" y="240863"/>
              </a:cubicBezTo>
              <a:cubicBezTo>
                <a:pt x="795575" y="246945"/>
                <a:pt x="798618" y="253436"/>
                <a:pt x="802874" y="259110"/>
              </a:cubicBezTo>
              <a:cubicBezTo>
                <a:pt x="812043" y="271335"/>
                <a:pt x="817731" y="277876"/>
                <a:pt x="824770" y="291954"/>
              </a:cubicBezTo>
              <a:cubicBezTo>
                <a:pt x="827700" y="297814"/>
                <a:pt x="829408" y="304215"/>
                <a:pt x="832069" y="310202"/>
              </a:cubicBezTo>
              <a:cubicBezTo>
                <a:pt x="834278" y="315173"/>
                <a:pt x="837159" y="319828"/>
                <a:pt x="839368" y="324799"/>
              </a:cubicBezTo>
              <a:cubicBezTo>
                <a:pt x="842029" y="330785"/>
                <a:pt x="843737" y="337187"/>
                <a:pt x="846667" y="343046"/>
              </a:cubicBezTo>
              <a:cubicBezTo>
                <a:pt x="849839" y="349391"/>
                <a:pt x="854170" y="355093"/>
                <a:pt x="857615" y="361294"/>
              </a:cubicBezTo>
              <a:cubicBezTo>
                <a:pt x="860257" y="366049"/>
                <a:pt x="862481" y="371025"/>
                <a:pt x="864914" y="375891"/>
              </a:cubicBezTo>
              <a:cubicBezTo>
                <a:pt x="875938" y="431003"/>
                <a:pt x="861892" y="362288"/>
                <a:pt x="872213" y="408736"/>
              </a:cubicBezTo>
              <a:cubicBezTo>
                <a:pt x="873558" y="414791"/>
                <a:pt x="874080" y="421042"/>
                <a:pt x="875862" y="426983"/>
              </a:cubicBezTo>
              <a:cubicBezTo>
                <a:pt x="877744" y="433258"/>
                <a:pt x="880728" y="439148"/>
                <a:pt x="883161" y="445230"/>
              </a:cubicBezTo>
              <a:cubicBezTo>
                <a:pt x="884378" y="452529"/>
                <a:pt x="885171" y="459911"/>
                <a:pt x="886811" y="467127"/>
              </a:cubicBezTo>
              <a:cubicBezTo>
                <a:pt x="891257" y="486691"/>
                <a:pt x="898570" y="505657"/>
                <a:pt x="901408" y="525518"/>
              </a:cubicBezTo>
              <a:cubicBezTo>
                <a:pt x="906146" y="558680"/>
                <a:pt x="902338" y="542904"/>
                <a:pt x="912357" y="572960"/>
              </a:cubicBezTo>
              <a:cubicBezTo>
                <a:pt x="913573" y="580259"/>
                <a:pt x="914342" y="587647"/>
                <a:pt x="916006" y="594857"/>
              </a:cubicBezTo>
              <a:cubicBezTo>
                <a:pt x="925220" y="634786"/>
                <a:pt x="923659" y="608280"/>
                <a:pt x="930604" y="656897"/>
              </a:cubicBezTo>
              <a:cubicBezTo>
                <a:pt x="931820" y="665412"/>
                <a:pt x="933397" y="673884"/>
                <a:pt x="934253" y="682443"/>
              </a:cubicBezTo>
              <a:cubicBezTo>
                <a:pt x="935831" y="698225"/>
                <a:pt x="936050" y="714134"/>
                <a:pt x="937903" y="729886"/>
              </a:cubicBezTo>
              <a:cubicBezTo>
                <a:pt x="938489" y="734867"/>
                <a:pt x="940569" y="739565"/>
                <a:pt x="941552" y="744483"/>
              </a:cubicBezTo>
              <a:cubicBezTo>
                <a:pt x="945455" y="763998"/>
                <a:pt x="948851" y="792325"/>
                <a:pt x="948851" y="810173"/>
              </a:cubicBezTo>
              <a:cubicBezTo>
                <a:pt x="948851" y="819981"/>
                <a:pt x="947782" y="790439"/>
                <a:pt x="945201" y="780977"/>
              </a:cubicBezTo>
              <a:cubicBezTo>
                <a:pt x="944047" y="776746"/>
                <a:pt x="940336" y="773678"/>
                <a:pt x="937903" y="770029"/>
              </a:cubicBezTo>
              <a:cubicBezTo>
                <a:pt x="928704" y="733242"/>
                <a:pt x="942247" y="781383"/>
                <a:pt x="923305" y="737184"/>
              </a:cubicBezTo>
              <a:cubicBezTo>
                <a:pt x="918759" y="726577"/>
                <a:pt x="915446" y="715459"/>
                <a:pt x="912357" y="704340"/>
              </a:cubicBezTo>
              <a:cubicBezTo>
                <a:pt x="893844" y="637693"/>
                <a:pt x="915862" y="703851"/>
                <a:pt x="897759" y="642299"/>
              </a:cubicBezTo>
              <a:cubicBezTo>
                <a:pt x="894503" y="631227"/>
                <a:pt x="891972" y="619776"/>
                <a:pt x="886811" y="609454"/>
              </a:cubicBezTo>
              <a:cubicBezTo>
                <a:pt x="871813" y="579460"/>
                <a:pt x="865410" y="567446"/>
                <a:pt x="850316" y="525518"/>
              </a:cubicBezTo>
              <a:cubicBezTo>
                <a:pt x="839899" y="496582"/>
                <a:pt x="820478" y="441369"/>
                <a:pt x="806523" y="405087"/>
              </a:cubicBezTo>
              <a:cubicBezTo>
                <a:pt x="804171" y="398973"/>
                <a:pt x="803154" y="392081"/>
                <a:pt x="799224" y="386840"/>
              </a:cubicBezTo>
              <a:cubicBezTo>
                <a:pt x="788067" y="371963"/>
                <a:pt x="788264" y="374039"/>
                <a:pt x="780977" y="357644"/>
              </a:cubicBezTo>
              <a:cubicBezTo>
                <a:pt x="778316" y="351658"/>
                <a:pt x="776815" y="345148"/>
                <a:pt x="773678" y="339397"/>
              </a:cubicBezTo>
              <a:cubicBezTo>
                <a:pt x="769478" y="331696"/>
                <a:pt x="763678" y="324971"/>
                <a:pt x="759081" y="317500"/>
              </a:cubicBezTo>
              <a:cubicBezTo>
                <a:pt x="740527" y="287348"/>
                <a:pt x="747270" y="295355"/>
                <a:pt x="729885" y="262759"/>
              </a:cubicBezTo>
              <a:cubicBezTo>
                <a:pt x="725270" y="254105"/>
                <a:pt x="719464" y="246087"/>
                <a:pt x="715288" y="237213"/>
              </a:cubicBezTo>
              <a:cubicBezTo>
                <a:pt x="709709" y="225358"/>
                <a:pt x="706299" y="212560"/>
                <a:pt x="700690" y="200719"/>
              </a:cubicBezTo>
              <a:cubicBezTo>
                <a:pt x="686110" y="169938"/>
                <a:pt x="680615" y="167411"/>
                <a:pt x="664196" y="138679"/>
              </a:cubicBezTo>
              <a:cubicBezTo>
                <a:pt x="655421" y="123324"/>
                <a:pt x="654495" y="114380"/>
                <a:pt x="642299" y="102184"/>
              </a:cubicBezTo>
              <a:cubicBezTo>
                <a:pt x="639198" y="99083"/>
                <a:pt x="635662" y="95694"/>
                <a:pt x="631351" y="94886"/>
              </a:cubicBezTo>
              <a:cubicBezTo>
                <a:pt x="615762" y="91963"/>
                <a:pt x="599722" y="92453"/>
                <a:pt x="583908" y="91236"/>
              </a:cubicBezTo>
              <a:cubicBezTo>
                <a:pt x="574176" y="86370"/>
                <a:pt x="562407" y="84332"/>
                <a:pt x="554713" y="76638"/>
              </a:cubicBezTo>
              <a:cubicBezTo>
                <a:pt x="541045" y="62970"/>
                <a:pt x="548661" y="67322"/>
                <a:pt x="532816" y="62041"/>
              </a:cubicBezTo>
              <a:cubicBezTo>
                <a:pt x="529167" y="59608"/>
                <a:pt x="525676" y="56918"/>
                <a:pt x="521868" y="54742"/>
              </a:cubicBezTo>
              <a:cubicBezTo>
                <a:pt x="517144" y="52043"/>
                <a:pt x="511449" y="50926"/>
                <a:pt x="507270" y="47443"/>
              </a:cubicBezTo>
              <a:cubicBezTo>
                <a:pt x="503901" y="44635"/>
                <a:pt x="502405" y="40144"/>
                <a:pt x="499972" y="36495"/>
              </a:cubicBezTo>
              <a:cubicBezTo>
                <a:pt x="503621" y="34062"/>
                <a:pt x="506578" y="29816"/>
                <a:pt x="510920" y="29196"/>
              </a:cubicBezTo>
              <a:cubicBezTo>
                <a:pt x="518651" y="28091"/>
                <a:pt x="534204" y="37188"/>
                <a:pt x="540115" y="40144"/>
              </a:cubicBezTo>
              <a:cubicBezTo>
                <a:pt x="558281" y="64364"/>
                <a:pt x="542088" y="47308"/>
                <a:pt x="565661" y="62041"/>
              </a:cubicBezTo>
              <a:cubicBezTo>
                <a:pt x="570819" y="65265"/>
                <a:pt x="575198" y="69615"/>
                <a:pt x="580259" y="72989"/>
              </a:cubicBezTo>
              <a:cubicBezTo>
                <a:pt x="605619" y="89895"/>
                <a:pt x="617652" y="89624"/>
                <a:pt x="642299" y="120432"/>
              </a:cubicBezTo>
              <a:cubicBezTo>
                <a:pt x="679480" y="166907"/>
                <a:pt x="632385" y="109416"/>
                <a:pt x="675144" y="156926"/>
              </a:cubicBezTo>
              <a:cubicBezTo>
                <a:pt x="680355" y="162716"/>
                <a:pt x="684502" y="169409"/>
                <a:pt x="689742" y="175173"/>
              </a:cubicBezTo>
              <a:cubicBezTo>
                <a:pt x="696685" y="182811"/>
                <a:pt x="704971" y="189189"/>
                <a:pt x="711638" y="197069"/>
              </a:cubicBezTo>
              <a:cubicBezTo>
                <a:pt x="718397" y="205057"/>
                <a:pt x="723505" y="214321"/>
                <a:pt x="729885" y="222615"/>
              </a:cubicBezTo>
              <a:cubicBezTo>
                <a:pt x="735678" y="230146"/>
                <a:pt x="742724" y="236700"/>
                <a:pt x="748132" y="244512"/>
              </a:cubicBezTo>
              <a:cubicBezTo>
                <a:pt x="753715" y="252576"/>
                <a:pt x="757590" y="261705"/>
                <a:pt x="762730" y="270058"/>
              </a:cubicBezTo>
              <a:cubicBezTo>
                <a:pt x="770880" y="283301"/>
                <a:pt x="779276" y="292282"/>
                <a:pt x="784627" y="306552"/>
              </a:cubicBezTo>
              <a:cubicBezTo>
                <a:pt x="790030" y="320960"/>
                <a:pt x="794358" y="335747"/>
                <a:pt x="799224" y="350345"/>
              </a:cubicBezTo>
              <a:cubicBezTo>
                <a:pt x="801657" y="357644"/>
                <a:pt x="804657" y="364778"/>
                <a:pt x="806523" y="372242"/>
              </a:cubicBezTo>
              <a:cubicBezTo>
                <a:pt x="808956" y="381974"/>
                <a:pt x="810872" y="391849"/>
                <a:pt x="813822" y="401437"/>
              </a:cubicBezTo>
              <a:cubicBezTo>
                <a:pt x="820610" y="423497"/>
                <a:pt x="831192" y="444494"/>
                <a:pt x="835719" y="467127"/>
              </a:cubicBezTo>
              <a:cubicBezTo>
                <a:pt x="852133" y="549193"/>
                <a:pt x="832722" y="459985"/>
                <a:pt x="853966" y="536466"/>
              </a:cubicBezTo>
              <a:cubicBezTo>
                <a:pt x="858400" y="552427"/>
                <a:pt x="865212" y="590385"/>
                <a:pt x="868564" y="605805"/>
              </a:cubicBezTo>
              <a:cubicBezTo>
                <a:pt x="872012" y="621665"/>
                <a:pt x="876645" y="637273"/>
                <a:pt x="879512" y="653248"/>
              </a:cubicBezTo>
              <a:cubicBezTo>
                <a:pt x="885165" y="684745"/>
                <a:pt x="888211" y="716681"/>
                <a:pt x="894109" y="748133"/>
              </a:cubicBezTo>
              <a:cubicBezTo>
                <a:pt x="897759" y="767596"/>
                <a:pt x="901905" y="786973"/>
                <a:pt x="905058" y="806523"/>
              </a:cubicBezTo>
              <a:cubicBezTo>
                <a:pt x="922310" y="913481"/>
                <a:pt x="902745" y="811471"/>
                <a:pt x="919655" y="908707"/>
              </a:cubicBezTo>
              <a:cubicBezTo>
                <a:pt x="921781" y="920929"/>
                <a:pt x="932501" y="934106"/>
                <a:pt x="926954" y="945202"/>
              </a:cubicBezTo>
              <a:cubicBezTo>
                <a:pt x="923031" y="953048"/>
                <a:pt x="916092" y="931242"/>
                <a:pt x="912357" y="923305"/>
              </a:cubicBezTo>
              <a:cubicBezTo>
                <a:pt x="906294" y="910422"/>
                <a:pt x="902994" y="896402"/>
                <a:pt x="897759" y="883161"/>
              </a:cubicBezTo>
              <a:cubicBezTo>
                <a:pt x="882311" y="844087"/>
                <a:pt x="865921" y="805392"/>
                <a:pt x="850316" y="766380"/>
              </a:cubicBezTo>
              <a:cubicBezTo>
                <a:pt x="840991" y="743068"/>
                <a:pt x="815971" y="677190"/>
                <a:pt x="810173" y="656897"/>
              </a:cubicBezTo>
              <a:cubicBezTo>
                <a:pt x="805307" y="639866"/>
                <a:pt x="800083" y="622934"/>
                <a:pt x="795575" y="605805"/>
              </a:cubicBezTo>
              <a:cubicBezTo>
                <a:pt x="787916" y="576702"/>
                <a:pt x="780206" y="547596"/>
                <a:pt x="773678" y="518219"/>
              </a:cubicBezTo>
              <a:cubicBezTo>
                <a:pt x="771245" y="507271"/>
                <a:pt x="769798" y="496056"/>
                <a:pt x="766380" y="485374"/>
              </a:cubicBezTo>
              <a:cubicBezTo>
                <a:pt x="741817" y="408614"/>
                <a:pt x="748571" y="443475"/>
                <a:pt x="715288" y="368592"/>
              </a:cubicBezTo>
              <a:cubicBezTo>
                <a:pt x="710422" y="357644"/>
                <a:pt x="707040" y="345907"/>
                <a:pt x="700690" y="335748"/>
              </a:cubicBezTo>
              <a:cubicBezTo>
                <a:pt x="694746" y="326237"/>
                <a:pt x="685722" y="319021"/>
                <a:pt x="678793" y="310202"/>
              </a:cubicBezTo>
              <a:cubicBezTo>
                <a:pt x="672328" y="301974"/>
                <a:pt x="666971" y="292916"/>
                <a:pt x="660546" y="284656"/>
              </a:cubicBezTo>
              <a:cubicBezTo>
                <a:pt x="649931" y="271008"/>
                <a:pt x="635432" y="259977"/>
                <a:pt x="627701" y="244512"/>
              </a:cubicBezTo>
              <a:cubicBezTo>
                <a:pt x="624038" y="237184"/>
                <a:pt x="618909" y="225416"/>
                <a:pt x="613104" y="218966"/>
              </a:cubicBezTo>
              <a:cubicBezTo>
                <a:pt x="605048" y="210015"/>
                <a:pt x="596073" y="201935"/>
                <a:pt x="587558" y="193420"/>
              </a:cubicBezTo>
              <a:cubicBezTo>
                <a:pt x="583908" y="189771"/>
                <a:pt x="579264" y="186898"/>
                <a:pt x="576609" y="182472"/>
              </a:cubicBezTo>
              <a:cubicBezTo>
                <a:pt x="549189" y="136772"/>
                <a:pt x="582953" y="194103"/>
                <a:pt x="554713" y="142328"/>
              </a:cubicBezTo>
              <a:cubicBezTo>
                <a:pt x="540725" y="116682"/>
                <a:pt x="546095" y="132312"/>
                <a:pt x="536466" y="105834"/>
              </a:cubicBezTo>
              <a:cubicBezTo>
                <a:pt x="533837" y="98603"/>
                <a:pt x="531796" y="91168"/>
                <a:pt x="529167" y="83937"/>
              </a:cubicBezTo>
              <a:cubicBezTo>
                <a:pt x="526928" y="77781"/>
                <a:pt x="523940" y="71905"/>
                <a:pt x="521868" y="65690"/>
              </a:cubicBezTo>
              <a:cubicBezTo>
                <a:pt x="521055" y="63251"/>
                <a:pt x="516915" y="43662"/>
                <a:pt x="514569" y="40144"/>
              </a:cubicBezTo>
              <a:cubicBezTo>
                <a:pt x="511706" y="35850"/>
                <a:pt x="507695" y="32365"/>
                <a:pt x="503621" y="29196"/>
              </a:cubicBezTo>
              <a:cubicBezTo>
                <a:pt x="496697" y="23810"/>
                <a:pt x="489023" y="19464"/>
                <a:pt x="481724" y="14598"/>
              </a:cubicBezTo>
              <a:cubicBezTo>
                <a:pt x="478075" y="12165"/>
                <a:pt x="466615" y="5912"/>
                <a:pt x="470776" y="7299"/>
              </a:cubicBezTo>
              <a:cubicBezTo>
                <a:pt x="485885" y="12336"/>
                <a:pt x="478523" y="8815"/>
                <a:pt x="492673" y="18248"/>
              </a:cubicBezTo>
              <a:cubicBezTo>
                <a:pt x="545113" y="96909"/>
                <a:pt x="491483" y="24357"/>
                <a:pt x="529167" y="62041"/>
              </a:cubicBezTo>
              <a:cubicBezTo>
                <a:pt x="534675" y="67549"/>
                <a:pt x="538554" y="74498"/>
                <a:pt x="543765" y="80288"/>
              </a:cubicBezTo>
              <a:cubicBezTo>
                <a:pt x="549519" y="86682"/>
                <a:pt x="556276" y="92125"/>
                <a:pt x="562012" y="98535"/>
              </a:cubicBezTo>
              <a:cubicBezTo>
                <a:pt x="576969" y="115251"/>
                <a:pt x="591087" y="132701"/>
                <a:pt x="605805" y="149627"/>
              </a:cubicBezTo>
              <a:cubicBezTo>
                <a:pt x="632507" y="180335"/>
                <a:pt x="641616" y="187008"/>
                <a:pt x="664196" y="222615"/>
              </a:cubicBezTo>
              <a:cubicBezTo>
                <a:pt x="686988" y="258557"/>
                <a:pt x="707989" y="295604"/>
                <a:pt x="729885" y="332098"/>
              </a:cubicBezTo>
              <a:cubicBezTo>
                <a:pt x="740833" y="350345"/>
                <a:pt x="754500" y="367216"/>
                <a:pt x="762730" y="386840"/>
              </a:cubicBezTo>
              <a:cubicBezTo>
                <a:pt x="778544" y="424551"/>
                <a:pt x="791885" y="463397"/>
                <a:pt x="810173" y="499972"/>
              </a:cubicBezTo>
              <a:cubicBezTo>
                <a:pt x="834782" y="549191"/>
                <a:pt x="840864" y="557053"/>
                <a:pt x="857615" y="624052"/>
              </a:cubicBezTo>
              <a:cubicBezTo>
                <a:pt x="866603" y="660001"/>
                <a:pt x="878770" y="705716"/>
                <a:pt x="883161" y="740834"/>
              </a:cubicBezTo>
              <a:cubicBezTo>
                <a:pt x="887878" y="778564"/>
                <a:pt x="885424" y="760320"/>
                <a:pt x="890460" y="795575"/>
              </a:cubicBezTo>
              <a:cubicBezTo>
                <a:pt x="888948" y="837915"/>
                <a:pt x="890324" y="883980"/>
                <a:pt x="883161" y="926954"/>
              </a:cubicBezTo>
              <a:cubicBezTo>
                <a:pt x="880877" y="940660"/>
                <a:pt x="879336" y="940340"/>
                <a:pt x="875862" y="952500"/>
              </a:cubicBezTo>
              <a:cubicBezTo>
                <a:pt x="874484" y="957323"/>
                <a:pt x="873429" y="962232"/>
                <a:pt x="872213" y="967098"/>
              </a:cubicBezTo>
              <a:cubicBezTo>
                <a:pt x="867656" y="939756"/>
                <a:pt x="867175" y="933273"/>
                <a:pt x="857615" y="901409"/>
              </a:cubicBezTo>
              <a:cubicBezTo>
                <a:pt x="847334" y="867140"/>
                <a:pt x="839300" y="831919"/>
                <a:pt x="824770" y="799225"/>
              </a:cubicBezTo>
              <a:cubicBezTo>
                <a:pt x="802179" y="748393"/>
                <a:pt x="794321" y="733867"/>
                <a:pt x="777328" y="664196"/>
              </a:cubicBezTo>
              <a:cubicBezTo>
                <a:pt x="765163" y="614320"/>
                <a:pt x="752880" y="564473"/>
                <a:pt x="740834" y="514569"/>
              </a:cubicBezTo>
              <a:cubicBezTo>
                <a:pt x="735849" y="493917"/>
                <a:pt x="731221" y="473181"/>
                <a:pt x="726236" y="452529"/>
              </a:cubicBezTo>
              <a:cubicBezTo>
                <a:pt x="718157" y="419057"/>
                <a:pt x="716849" y="408731"/>
                <a:pt x="704339" y="379541"/>
              </a:cubicBezTo>
              <a:cubicBezTo>
                <a:pt x="697899" y="364515"/>
                <a:pt x="692900" y="354996"/>
                <a:pt x="682443" y="343046"/>
              </a:cubicBezTo>
              <a:cubicBezTo>
                <a:pt x="677912" y="337867"/>
                <a:pt x="672070" y="333881"/>
                <a:pt x="667845" y="328449"/>
              </a:cubicBezTo>
              <a:cubicBezTo>
                <a:pt x="663490" y="322850"/>
                <a:pt x="660750" y="316157"/>
                <a:pt x="656897" y="310202"/>
              </a:cubicBezTo>
              <a:cubicBezTo>
                <a:pt x="647366" y="295472"/>
                <a:pt x="637433" y="281007"/>
                <a:pt x="627701" y="266409"/>
              </a:cubicBezTo>
              <a:cubicBezTo>
                <a:pt x="627698" y="266404"/>
                <a:pt x="598510" y="222619"/>
                <a:pt x="598506" y="222615"/>
              </a:cubicBezTo>
              <a:cubicBezTo>
                <a:pt x="593640" y="217749"/>
                <a:pt x="588313" y="213304"/>
                <a:pt x="583908" y="208018"/>
              </a:cubicBezTo>
              <a:cubicBezTo>
                <a:pt x="542247" y="158025"/>
                <a:pt x="577685" y="194495"/>
                <a:pt x="551064" y="167874"/>
              </a:cubicBezTo>
              <a:cubicBezTo>
                <a:pt x="549847" y="164225"/>
                <a:pt x="549323" y="160266"/>
                <a:pt x="547414" y="156926"/>
              </a:cubicBezTo>
              <a:cubicBezTo>
                <a:pt x="542624" y="148543"/>
                <a:pt x="532915" y="137852"/>
                <a:pt x="525518" y="131380"/>
              </a:cubicBezTo>
              <a:cubicBezTo>
                <a:pt x="519656" y="126251"/>
                <a:pt x="512778" y="122290"/>
                <a:pt x="507270" y="116782"/>
              </a:cubicBezTo>
              <a:cubicBezTo>
                <a:pt x="504169" y="113681"/>
                <a:pt x="502521" y="109403"/>
                <a:pt x="499972" y="105834"/>
              </a:cubicBezTo>
              <a:cubicBezTo>
                <a:pt x="496437" y="100884"/>
                <a:pt x="493324" y="95537"/>
                <a:pt x="489023" y="91236"/>
              </a:cubicBezTo>
              <a:cubicBezTo>
                <a:pt x="485922" y="88135"/>
                <a:pt x="481724" y="86370"/>
                <a:pt x="478075" y="83937"/>
              </a:cubicBezTo>
              <a:cubicBezTo>
                <a:pt x="475642" y="80288"/>
                <a:pt x="468815" y="76912"/>
                <a:pt x="470776" y="72989"/>
              </a:cubicBezTo>
              <a:cubicBezTo>
                <a:pt x="472496" y="69548"/>
                <a:pt x="478283" y="74918"/>
                <a:pt x="481724" y="76638"/>
              </a:cubicBezTo>
              <a:cubicBezTo>
                <a:pt x="485647" y="78600"/>
                <a:pt x="489023" y="81504"/>
                <a:pt x="492673" y="83937"/>
              </a:cubicBezTo>
              <a:cubicBezTo>
                <a:pt x="497539" y="91236"/>
                <a:pt x="503347" y="97988"/>
                <a:pt x="507270" y="105834"/>
              </a:cubicBezTo>
              <a:cubicBezTo>
                <a:pt x="512136" y="115566"/>
                <a:pt x="515340" y="126325"/>
                <a:pt x="521868" y="135029"/>
              </a:cubicBezTo>
              <a:cubicBezTo>
                <a:pt x="525517" y="139895"/>
                <a:pt x="528949" y="144932"/>
                <a:pt x="532816" y="149627"/>
              </a:cubicBezTo>
              <a:cubicBezTo>
                <a:pt x="545985" y="165618"/>
                <a:pt x="562302" y="179305"/>
                <a:pt x="572960" y="197069"/>
              </a:cubicBezTo>
              <a:lnTo>
                <a:pt x="616753" y="270058"/>
              </a:lnTo>
              <a:cubicBezTo>
                <a:pt x="640010" y="308819"/>
                <a:pt x="660188" y="341858"/>
                <a:pt x="682443" y="383190"/>
              </a:cubicBezTo>
              <a:cubicBezTo>
                <a:pt x="690958" y="399004"/>
                <a:pt x="700462" y="414325"/>
                <a:pt x="707989" y="430633"/>
              </a:cubicBezTo>
              <a:cubicBezTo>
                <a:pt x="715089" y="446017"/>
                <a:pt x="719843" y="462384"/>
                <a:pt x="726236" y="478075"/>
              </a:cubicBezTo>
              <a:cubicBezTo>
                <a:pt x="771256" y="588580"/>
                <a:pt x="727854" y="471984"/>
                <a:pt x="762730" y="576610"/>
              </a:cubicBezTo>
              <a:cubicBezTo>
                <a:pt x="783187" y="637979"/>
                <a:pt x="784322" y="622888"/>
                <a:pt x="806523" y="707989"/>
              </a:cubicBezTo>
              <a:cubicBezTo>
                <a:pt x="813822" y="735968"/>
                <a:pt x="822749" y="763572"/>
                <a:pt x="828420" y="791926"/>
              </a:cubicBezTo>
              <a:cubicBezTo>
                <a:pt x="837982" y="839736"/>
                <a:pt x="831796" y="816651"/>
                <a:pt x="846667" y="861265"/>
              </a:cubicBezTo>
              <a:cubicBezTo>
                <a:pt x="847883" y="870997"/>
                <a:pt x="848562" y="880811"/>
                <a:pt x="850316" y="890460"/>
              </a:cubicBezTo>
              <a:cubicBezTo>
                <a:pt x="851004" y="894245"/>
                <a:pt x="852909" y="897710"/>
                <a:pt x="853966" y="901409"/>
              </a:cubicBezTo>
              <a:cubicBezTo>
                <a:pt x="855344" y="906231"/>
                <a:pt x="856399" y="911140"/>
                <a:pt x="857615" y="916006"/>
              </a:cubicBezTo>
              <a:cubicBezTo>
                <a:pt x="856399" y="942769"/>
                <a:pt x="859579" y="970098"/>
                <a:pt x="853966" y="996294"/>
              </a:cubicBezTo>
              <a:cubicBezTo>
                <a:pt x="851864" y="1006103"/>
                <a:pt x="851153" y="976070"/>
                <a:pt x="846667" y="967098"/>
              </a:cubicBezTo>
              <a:lnTo>
                <a:pt x="839368" y="952500"/>
              </a:lnTo>
              <a:cubicBezTo>
                <a:pt x="834624" y="933524"/>
                <a:pt x="829215" y="910297"/>
                <a:pt x="821121" y="894110"/>
              </a:cubicBezTo>
              <a:cubicBezTo>
                <a:pt x="807111" y="866090"/>
                <a:pt x="802801" y="859490"/>
                <a:pt x="791926" y="828420"/>
              </a:cubicBezTo>
              <a:cubicBezTo>
                <a:pt x="787730" y="816433"/>
                <a:pt x="784993" y="803975"/>
                <a:pt x="780977" y="791926"/>
              </a:cubicBezTo>
              <a:cubicBezTo>
                <a:pt x="759710" y="728126"/>
                <a:pt x="749218" y="706940"/>
                <a:pt x="733535" y="645949"/>
              </a:cubicBezTo>
              <a:cubicBezTo>
                <a:pt x="727949" y="624225"/>
                <a:pt x="723605" y="602199"/>
                <a:pt x="718937" y="580259"/>
              </a:cubicBezTo>
              <a:cubicBezTo>
                <a:pt x="708897" y="533071"/>
                <a:pt x="702306" y="483872"/>
                <a:pt x="686092" y="437932"/>
              </a:cubicBezTo>
              <a:cubicBezTo>
                <a:pt x="678269" y="415767"/>
                <a:pt x="673703" y="411087"/>
                <a:pt x="664196" y="390489"/>
              </a:cubicBezTo>
              <a:cubicBezTo>
                <a:pt x="660314" y="382077"/>
                <a:pt x="657165" y="373338"/>
                <a:pt x="653247" y="364943"/>
              </a:cubicBezTo>
              <a:cubicBezTo>
                <a:pt x="648646" y="355084"/>
                <a:pt x="643251" y="345607"/>
                <a:pt x="638650" y="335748"/>
              </a:cubicBezTo>
              <a:cubicBezTo>
                <a:pt x="634732" y="327353"/>
                <a:pt x="630904" y="318895"/>
                <a:pt x="627701" y="310202"/>
              </a:cubicBezTo>
              <a:cubicBezTo>
                <a:pt x="622382" y="295764"/>
                <a:pt x="619985" y="280172"/>
                <a:pt x="613104" y="266409"/>
              </a:cubicBezTo>
              <a:cubicBezTo>
                <a:pt x="601882" y="243966"/>
                <a:pt x="608822" y="256336"/>
                <a:pt x="591207" y="229914"/>
              </a:cubicBezTo>
              <a:cubicBezTo>
                <a:pt x="588774" y="226265"/>
                <a:pt x="587009" y="222067"/>
                <a:pt x="583908" y="218966"/>
              </a:cubicBezTo>
              <a:cubicBezTo>
                <a:pt x="580259" y="215317"/>
                <a:pt x="576129" y="212092"/>
                <a:pt x="572960" y="208018"/>
              </a:cubicBezTo>
              <a:cubicBezTo>
                <a:pt x="558088" y="188897"/>
                <a:pt x="559915" y="186627"/>
                <a:pt x="547414" y="167874"/>
              </a:cubicBezTo>
              <a:cubicBezTo>
                <a:pt x="544040" y="162813"/>
                <a:pt x="539420" y="158593"/>
                <a:pt x="536466" y="153276"/>
              </a:cubicBezTo>
              <a:cubicBezTo>
                <a:pt x="528395" y="138748"/>
                <a:pt x="526667" y="117932"/>
                <a:pt x="514569" y="105834"/>
              </a:cubicBezTo>
              <a:cubicBezTo>
                <a:pt x="510920" y="102185"/>
                <a:pt x="506621" y="99086"/>
                <a:pt x="503621" y="94886"/>
              </a:cubicBezTo>
              <a:cubicBezTo>
                <a:pt x="493242" y="80356"/>
                <a:pt x="500901" y="79692"/>
                <a:pt x="485374" y="69340"/>
              </a:cubicBezTo>
              <a:cubicBezTo>
                <a:pt x="482173" y="67206"/>
                <a:pt x="478075" y="66907"/>
                <a:pt x="474426" y="65690"/>
              </a:cubicBezTo>
              <a:cubicBezTo>
                <a:pt x="473209" y="74205"/>
                <a:pt x="474085" y="83296"/>
                <a:pt x="470776" y="91236"/>
              </a:cubicBezTo>
              <a:cubicBezTo>
                <a:pt x="463959" y="107596"/>
                <a:pt x="456735" y="108153"/>
                <a:pt x="445230" y="116782"/>
              </a:cubicBezTo>
              <a:cubicBezTo>
                <a:pt x="438999" y="121456"/>
                <a:pt x="432897" y="126311"/>
                <a:pt x="426983" y="131380"/>
              </a:cubicBezTo>
              <a:cubicBezTo>
                <a:pt x="415861" y="140913"/>
                <a:pt x="405391" y="151197"/>
                <a:pt x="394138" y="160575"/>
              </a:cubicBezTo>
              <a:cubicBezTo>
                <a:pt x="374105" y="177269"/>
                <a:pt x="345917" y="195752"/>
                <a:pt x="328449" y="215317"/>
              </a:cubicBezTo>
              <a:cubicBezTo>
                <a:pt x="310194" y="235762"/>
                <a:pt x="264376" y="293347"/>
                <a:pt x="244512" y="324799"/>
              </a:cubicBezTo>
              <a:cubicBezTo>
                <a:pt x="237824" y="335388"/>
                <a:pt x="232615" y="346849"/>
                <a:pt x="226265" y="357644"/>
              </a:cubicBezTo>
              <a:cubicBezTo>
                <a:pt x="220446" y="367536"/>
                <a:pt x="213712" y="376876"/>
                <a:pt x="208018" y="386840"/>
              </a:cubicBezTo>
              <a:cubicBezTo>
                <a:pt x="193270" y="412649"/>
                <a:pt x="200798" y="402722"/>
                <a:pt x="189770" y="426983"/>
              </a:cubicBezTo>
              <a:cubicBezTo>
                <a:pt x="186393" y="434412"/>
                <a:pt x="182471" y="441581"/>
                <a:pt x="178822" y="448880"/>
              </a:cubicBezTo>
              <a:cubicBezTo>
                <a:pt x="177606" y="454962"/>
                <a:pt x="176955" y="461186"/>
                <a:pt x="175173" y="467127"/>
              </a:cubicBezTo>
              <a:cubicBezTo>
                <a:pt x="167225" y="493619"/>
                <a:pt x="168533" y="476271"/>
                <a:pt x="164224" y="499972"/>
              </a:cubicBezTo>
              <a:cubicBezTo>
                <a:pt x="162685" y="508435"/>
                <a:pt x="161883" y="517016"/>
                <a:pt x="160575" y="525518"/>
              </a:cubicBezTo>
              <a:cubicBezTo>
                <a:pt x="159450" y="532831"/>
                <a:pt x="158290" y="540141"/>
                <a:pt x="156926" y="547414"/>
              </a:cubicBezTo>
              <a:cubicBezTo>
                <a:pt x="154640" y="559607"/>
                <a:pt x="151382" y="571628"/>
                <a:pt x="149627" y="583909"/>
              </a:cubicBezTo>
              <a:cubicBezTo>
                <a:pt x="144889" y="617070"/>
                <a:pt x="148697" y="601294"/>
                <a:pt x="138678" y="631351"/>
              </a:cubicBezTo>
              <a:cubicBezTo>
                <a:pt x="137462" y="639866"/>
                <a:pt x="136166" y="648371"/>
                <a:pt x="135029" y="656897"/>
              </a:cubicBezTo>
              <a:cubicBezTo>
                <a:pt x="133733" y="666618"/>
                <a:pt x="133187" y="676453"/>
                <a:pt x="131380" y="686092"/>
              </a:cubicBezTo>
              <a:cubicBezTo>
                <a:pt x="129531" y="695952"/>
                <a:pt x="126048" y="705451"/>
                <a:pt x="124081" y="715288"/>
              </a:cubicBezTo>
              <a:cubicBezTo>
                <a:pt x="122394" y="723723"/>
                <a:pt x="121739" y="732332"/>
                <a:pt x="120431" y="740834"/>
              </a:cubicBezTo>
              <a:cubicBezTo>
                <a:pt x="119306" y="748147"/>
                <a:pt x="117998" y="755431"/>
                <a:pt x="116782" y="762730"/>
              </a:cubicBezTo>
              <a:cubicBezTo>
                <a:pt x="108525" y="911340"/>
                <a:pt x="116782" y="731181"/>
                <a:pt x="116782" y="978046"/>
              </a:cubicBezTo>
              <a:cubicBezTo>
                <a:pt x="116782" y="992694"/>
                <a:pt x="115540" y="948702"/>
                <a:pt x="113132" y="934253"/>
              </a:cubicBezTo>
              <a:cubicBezTo>
                <a:pt x="111867" y="926664"/>
                <a:pt x="107099" y="919946"/>
                <a:pt x="105834" y="912357"/>
              </a:cubicBezTo>
              <a:lnTo>
                <a:pt x="102184" y="890460"/>
              </a:lnTo>
              <a:cubicBezTo>
                <a:pt x="103401" y="853966"/>
                <a:pt x="103169" y="817394"/>
                <a:pt x="105834" y="780977"/>
              </a:cubicBezTo>
              <a:cubicBezTo>
                <a:pt x="107520" y="757932"/>
                <a:pt x="119020" y="718732"/>
                <a:pt x="124081" y="697041"/>
              </a:cubicBezTo>
              <a:cubicBezTo>
                <a:pt x="160671" y="540225"/>
                <a:pt x="106862" y="747257"/>
                <a:pt x="182472" y="503621"/>
              </a:cubicBezTo>
              <a:cubicBezTo>
                <a:pt x="208277" y="420470"/>
                <a:pt x="224037" y="354059"/>
                <a:pt x="270058" y="277357"/>
              </a:cubicBezTo>
              <a:cubicBezTo>
                <a:pt x="291954" y="240863"/>
                <a:pt x="316714" y="205940"/>
                <a:pt x="335747" y="167874"/>
              </a:cubicBezTo>
              <a:cubicBezTo>
                <a:pt x="344262" y="150843"/>
                <a:pt x="352175" y="133498"/>
                <a:pt x="361293" y="116782"/>
              </a:cubicBezTo>
              <a:cubicBezTo>
                <a:pt x="372409" y="96404"/>
                <a:pt x="377890" y="86917"/>
                <a:pt x="394138" y="72989"/>
              </a:cubicBezTo>
              <a:cubicBezTo>
                <a:pt x="408742" y="60470"/>
                <a:pt x="411558" y="65965"/>
                <a:pt x="434282" y="58391"/>
              </a:cubicBezTo>
              <a:lnTo>
                <a:pt x="445230" y="54742"/>
              </a:lnTo>
              <a:cubicBezTo>
                <a:pt x="439148" y="59608"/>
                <a:pt x="433617" y="65258"/>
                <a:pt x="426983" y="69340"/>
              </a:cubicBezTo>
              <a:cubicBezTo>
                <a:pt x="386192" y="94442"/>
                <a:pt x="411344" y="75335"/>
                <a:pt x="379541" y="91236"/>
              </a:cubicBezTo>
              <a:cubicBezTo>
                <a:pt x="373196" y="94408"/>
                <a:pt x="367277" y="98376"/>
                <a:pt x="361293" y="102184"/>
              </a:cubicBezTo>
              <a:cubicBezTo>
                <a:pt x="353892" y="106893"/>
                <a:pt x="345843" y="110832"/>
                <a:pt x="339397" y="116782"/>
              </a:cubicBezTo>
              <a:cubicBezTo>
                <a:pt x="329895" y="125553"/>
                <a:pt x="322714" y="136561"/>
                <a:pt x="313851" y="145977"/>
              </a:cubicBezTo>
              <a:cubicBezTo>
                <a:pt x="303239" y="157252"/>
                <a:pt x="291082" y="167066"/>
                <a:pt x="281006" y="178822"/>
              </a:cubicBezTo>
              <a:cubicBezTo>
                <a:pt x="269131" y="192676"/>
                <a:pt x="258498" y="207579"/>
                <a:pt x="248161" y="222615"/>
              </a:cubicBezTo>
              <a:cubicBezTo>
                <a:pt x="242822" y="230381"/>
                <a:pt x="199079" y="295234"/>
                <a:pt x="186121" y="321150"/>
              </a:cubicBezTo>
              <a:cubicBezTo>
                <a:pt x="181978" y="329436"/>
                <a:pt x="179007" y="338262"/>
                <a:pt x="175173" y="346696"/>
              </a:cubicBezTo>
              <a:cubicBezTo>
                <a:pt x="172922" y="351649"/>
                <a:pt x="169784" y="356200"/>
                <a:pt x="167874" y="361294"/>
              </a:cubicBezTo>
              <a:cubicBezTo>
                <a:pt x="166113" y="365990"/>
                <a:pt x="165602" y="371069"/>
                <a:pt x="164224" y="375891"/>
              </a:cubicBezTo>
              <a:cubicBezTo>
                <a:pt x="163167" y="379590"/>
                <a:pt x="161791" y="383190"/>
                <a:pt x="160575" y="386840"/>
              </a:cubicBezTo>
              <a:cubicBezTo>
                <a:pt x="145381" y="493195"/>
                <a:pt x="162722" y="389938"/>
                <a:pt x="142328" y="474426"/>
              </a:cubicBezTo>
              <a:cubicBezTo>
                <a:pt x="136786" y="497386"/>
                <a:pt x="127730" y="543765"/>
                <a:pt x="127730" y="543765"/>
              </a:cubicBezTo>
              <a:cubicBezTo>
                <a:pt x="126514" y="554713"/>
                <a:pt x="125447" y="565679"/>
                <a:pt x="124081" y="576610"/>
              </a:cubicBezTo>
              <a:cubicBezTo>
                <a:pt x="123014" y="585145"/>
                <a:pt x="121287" y="593597"/>
                <a:pt x="120431" y="602156"/>
              </a:cubicBezTo>
              <a:cubicBezTo>
                <a:pt x="113051" y="675955"/>
                <a:pt x="120866" y="625098"/>
                <a:pt x="113132" y="671495"/>
              </a:cubicBezTo>
              <a:cubicBezTo>
                <a:pt x="111916" y="721370"/>
                <a:pt x="109483" y="771231"/>
                <a:pt x="109483" y="821121"/>
              </a:cubicBezTo>
              <a:cubicBezTo>
                <a:pt x="109483" y="852773"/>
                <a:pt x="109875" y="947490"/>
                <a:pt x="113132" y="916006"/>
              </a:cubicBezTo>
              <a:cubicBezTo>
                <a:pt x="120021" y="849411"/>
                <a:pt x="115728" y="782073"/>
                <a:pt x="120431" y="715288"/>
              </a:cubicBezTo>
              <a:cubicBezTo>
                <a:pt x="123191" y="676091"/>
                <a:pt x="133695" y="653010"/>
                <a:pt x="142328" y="616753"/>
              </a:cubicBezTo>
              <a:cubicBezTo>
                <a:pt x="145201" y="604685"/>
                <a:pt x="146307" y="592212"/>
                <a:pt x="149627" y="580259"/>
              </a:cubicBezTo>
              <a:cubicBezTo>
                <a:pt x="155074" y="560651"/>
                <a:pt x="164284" y="544339"/>
                <a:pt x="171523" y="525518"/>
              </a:cubicBezTo>
              <a:cubicBezTo>
                <a:pt x="177201" y="510754"/>
                <a:pt x="179108" y="499399"/>
                <a:pt x="186121" y="485374"/>
              </a:cubicBezTo>
              <a:cubicBezTo>
                <a:pt x="189293" y="479030"/>
                <a:pt x="194435" y="473713"/>
                <a:pt x="197069" y="467127"/>
              </a:cubicBezTo>
              <a:cubicBezTo>
                <a:pt x="204212" y="449269"/>
                <a:pt x="206714" y="429589"/>
                <a:pt x="215316" y="412386"/>
              </a:cubicBezTo>
              <a:cubicBezTo>
                <a:pt x="221399" y="400221"/>
                <a:pt x="227983" y="388294"/>
                <a:pt x="233564" y="375891"/>
              </a:cubicBezTo>
              <a:cubicBezTo>
                <a:pt x="244696" y="351153"/>
                <a:pt x="251142" y="325803"/>
                <a:pt x="266408" y="302903"/>
              </a:cubicBezTo>
              <a:cubicBezTo>
                <a:pt x="285871" y="273707"/>
                <a:pt x="260327" y="308983"/>
                <a:pt x="284655" y="284656"/>
              </a:cubicBezTo>
              <a:cubicBezTo>
                <a:pt x="291374" y="277938"/>
                <a:pt x="297047" y="270241"/>
                <a:pt x="302903" y="262759"/>
              </a:cubicBezTo>
              <a:cubicBezTo>
                <a:pt x="318948" y="242257"/>
                <a:pt x="335103" y="221824"/>
                <a:pt x="350345" y="200719"/>
              </a:cubicBezTo>
              <a:cubicBezTo>
                <a:pt x="422438" y="100899"/>
                <a:pt x="370903" y="159923"/>
                <a:pt x="416035" y="120432"/>
              </a:cubicBezTo>
              <a:cubicBezTo>
                <a:pt x="419919" y="117033"/>
                <a:pt x="422367" y="111791"/>
                <a:pt x="426983" y="109483"/>
              </a:cubicBezTo>
              <a:cubicBezTo>
                <a:pt x="432531" y="106709"/>
                <a:pt x="439148" y="107050"/>
                <a:pt x="445230" y="105834"/>
              </a:cubicBezTo>
              <a:cubicBezTo>
                <a:pt x="448879" y="103401"/>
                <a:pt x="452609" y="101084"/>
                <a:pt x="456178" y="98535"/>
              </a:cubicBezTo>
              <a:cubicBezTo>
                <a:pt x="461127" y="95000"/>
                <a:pt x="476546" y="85664"/>
                <a:pt x="470776" y="87587"/>
              </a:cubicBezTo>
              <a:cubicBezTo>
                <a:pt x="455070" y="92822"/>
                <a:pt x="463560" y="90303"/>
                <a:pt x="445230" y="94886"/>
              </a:cubicBezTo>
              <a:cubicBezTo>
                <a:pt x="397520" y="130667"/>
                <a:pt x="455352" y="84764"/>
                <a:pt x="423334" y="116782"/>
              </a:cubicBezTo>
              <a:cubicBezTo>
                <a:pt x="420232" y="119884"/>
                <a:pt x="415894" y="121449"/>
                <a:pt x="412385" y="124081"/>
              </a:cubicBezTo>
              <a:cubicBezTo>
                <a:pt x="406154" y="128755"/>
                <a:pt x="399902" y="133439"/>
                <a:pt x="394138" y="138679"/>
              </a:cubicBezTo>
              <a:cubicBezTo>
                <a:pt x="386500" y="145622"/>
                <a:pt x="379788" y="153532"/>
                <a:pt x="372242" y="160575"/>
              </a:cubicBezTo>
              <a:cubicBezTo>
                <a:pt x="361533" y="170570"/>
                <a:pt x="349479" y="179144"/>
                <a:pt x="339397" y="189771"/>
              </a:cubicBezTo>
              <a:cubicBezTo>
                <a:pt x="304422" y="226636"/>
                <a:pt x="270731" y="264708"/>
                <a:pt x="237213" y="302903"/>
              </a:cubicBezTo>
              <a:cubicBezTo>
                <a:pt x="192287" y="354098"/>
                <a:pt x="138906" y="421381"/>
                <a:pt x="105834" y="478075"/>
              </a:cubicBezTo>
              <a:cubicBezTo>
                <a:pt x="91524" y="502606"/>
                <a:pt x="59259" y="555759"/>
                <a:pt x="51092" y="580259"/>
              </a:cubicBezTo>
              <a:lnTo>
                <a:pt x="43793" y="602156"/>
              </a:lnTo>
              <a:cubicBezTo>
                <a:pt x="42577" y="609455"/>
                <a:pt x="41595" y="616796"/>
                <a:pt x="40144" y="624052"/>
              </a:cubicBezTo>
              <a:cubicBezTo>
                <a:pt x="39160" y="628970"/>
                <a:pt x="37020" y="633662"/>
                <a:pt x="36495" y="638650"/>
              </a:cubicBezTo>
              <a:cubicBezTo>
                <a:pt x="34581" y="656837"/>
                <a:pt x="34148" y="675150"/>
                <a:pt x="32845" y="693391"/>
              </a:cubicBezTo>
              <a:cubicBezTo>
                <a:pt x="31715" y="709212"/>
                <a:pt x="30412" y="725020"/>
                <a:pt x="29196" y="740834"/>
              </a:cubicBezTo>
              <a:cubicBezTo>
                <a:pt x="35901" y="868247"/>
                <a:pt x="28187" y="771139"/>
                <a:pt x="36495" y="832069"/>
              </a:cubicBezTo>
              <a:cubicBezTo>
                <a:pt x="39145" y="851504"/>
                <a:pt x="43793" y="890460"/>
                <a:pt x="43793" y="890460"/>
              </a:cubicBezTo>
              <a:cubicBezTo>
                <a:pt x="45010" y="912357"/>
                <a:pt x="44342" y="934440"/>
                <a:pt x="47443" y="956150"/>
              </a:cubicBezTo>
              <a:cubicBezTo>
                <a:pt x="48152" y="961115"/>
                <a:pt x="51092" y="946568"/>
                <a:pt x="51092" y="941552"/>
              </a:cubicBezTo>
              <a:cubicBezTo>
                <a:pt x="51092" y="929327"/>
                <a:pt x="48659" y="917223"/>
                <a:pt x="47443" y="905058"/>
              </a:cubicBezTo>
              <a:cubicBezTo>
                <a:pt x="48659" y="849100"/>
                <a:pt x="47032" y="793008"/>
                <a:pt x="51092" y="737184"/>
              </a:cubicBezTo>
              <a:cubicBezTo>
                <a:pt x="51563" y="730706"/>
                <a:pt x="70386" y="682518"/>
                <a:pt x="72989" y="675144"/>
              </a:cubicBezTo>
              <a:cubicBezTo>
                <a:pt x="106921" y="579000"/>
                <a:pt x="43770" y="744541"/>
                <a:pt x="120431" y="547414"/>
              </a:cubicBezTo>
              <a:cubicBezTo>
                <a:pt x="126725" y="531229"/>
                <a:pt x="140078" y="499422"/>
                <a:pt x="145977" y="481725"/>
              </a:cubicBezTo>
              <a:cubicBezTo>
                <a:pt x="148410" y="474426"/>
                <a:pt x="150647" y="467059"/>
                <a:pt x="153276" y="459828"/>
              </a:cubicBezTo>
              <a:cubicBezTo>
                <a:pt x="155515" y="453672"/>
                <a:pt x="158602" y="447828"/>
                <a:pt x="160575" y="441581"/>
              </a:cubicBezTo>
              <a:cubicBezTo>
                <a:pt x="165909" y="424691"/>
                <a:pt x="167489" y="406448"/>
                <a:pt x="175173" y="390489"/>
              </a:cubicBezTo>
              <a:cubicBezTo>
                <a:pt x="194783" y="349760"/>
                <a:pt x="245950" y="240900"/>
                <a:pt x="270058" y="200719"/>
              </a:cubicBezTo>
              <a:cubicBezTo>
                <a:pt x="308326" y="136939"/>
                <a:pt x="274340" y="188965"/>
                <a:pt x="313851" y="138679"/>
              </a:cubicBezTo>
              <a:cubicBezTo>
                <a:pt x="333809" y="113278"/>
                <a:pt x="330440" y="111142"/>
                <a:pt x="353995" y="87587"/>
              </a:cubicBezTo>
              <a:cubicBezTo>
                <a:pt x="360713" y="80869"/>
                <a:pt x="368973" y="75852"/>
                <a:pt x="375891" y="69340"/>
              </a:cubicBezTo>
              <a:cubicBezTo>
                <a:pt x="389671" y="56370"/>
                <a:pt x="404214" y="43973"/>
                <a:pt x="416035" y="29196"/>
              </a:cubicBezTo>
              <a:cubicBezTo>
                <a:pt x="426496" y="16119"/>
                <a:pt x="428023" y="10429"/>
                <a:pt x="441581" y="3650"/>
              </a:cubicBezTo>
              <a:cubicBezTo>
                <a:pt x="445022" y="1930"/>
                <a:pt x="448880" y="1217"/>
                <a:pt x="452529" y="0"/>
              </a:cubicBezTo>
              <a:cubicBezTo>
                <a:pt x="456178" y="1217"/>
                <a:pt x="463477" y="-197"/>
                <a:pt x="463477" y="3650"/>
              </a:cubicBezTo>
              <a:cubicBezTo>
                <a:pt x="463477" y="8036"/>
                <a:pt x="456452" y="8988"/>
                <a:pt x="452529" y="10949"/>
              </a:cubicBezTo>
              <a:cubicBezTo>
                <a:pt x="442340" y="16043"/>
                <a:pt x="425444" y="16904"/>
                <a:pt x="416035" y="18248"/>
              </a:cubicBezTo>
              <a:cubicBezTo>
                <a:pt x="385546" y="38573"/>
                <a:pt x="400345" y="26639"/>
                <a:pt x="372242" y="54742"/>
              </a:cubicBezTo>
              <a:cubicBezTo>
                <a:pt x="368592" y="58392"/>
                <a:pt x="364390" y="61561"/>
                <a:pt x="361293" y="65690"/>
              </a:cubicBezTo>
              <a:cubicBezTo>
                <a:pt x="357644" y="70556"/>
                <a:pt x="353719" y="75227"/>
                <a:pt x="350345" y="80288"/>
              </a:cubicBezTo>
              <a:cubicBezTo>
                <a:pt x="346411" y="86190"/>
                <a:pt x="343569" y="92798"/>
                <a:pt x="339397" y="98535"/>
              </a:cubicBezTo>
              <a:cubicBezTo>
                <a:pt x="333809" y="106219"/>
                <a:pt x="326558" y="112620"/>
                <a:pt x="321150" y="120432"/>
              </a:cubicBezTo>
              <a:cubicBezTo>
                <a:pt x="317345" y="125928"/>
                <a:pt x="254514" y="221859"/>
                <a:pt x="244512" y="240863"/>
              </a:cubicBezTo>
              <a:cubicBezTo>
                <a:pt x="232347" y="263976"/>
                <a:pt x="220977" y="287525"/>
                <a:pt x="208018" y="310202"/>
              </a:cubicBezTo>
              <a:cubicBezTo>
                <a:pt x="203152" y="318717"/>
                <a:pt x="197283" y="326733"/>
                <a:pt x="193420" y="335748"/>
              </a:cubicBezTo>
              <a:cubicBezTo>
                <a:pt x="189931" y="343888"/>
                <a:pt x="188922" y="352892"/>
                <a:pt x="186121" y="361294"/>
              </a:cubicBezTo>
              <a:cubicBezTo>
                <a:pt x="184049" y="367509"/>
                <a:pt x="181255" y="373459"/>
                <a:pt x="178822" y="379541"/>
              </a:cubicBezTo>
              <a:cubicBezTo>
                <a:pt x="177606" y="385623"/>
                <a:pt x="176568" y="391744"/>
                <a:pt x="175173" y="397788"/>
              </a:cubicBezTo>
              <a:cubicBezTo>
                <a:pt x="172917" y="407562"/>
                <a:pt x="169842" y="417147"/>
                <a:pt x="167874" y="426983"/>
              </a:cubicBezTo>
              <a:cubicBezTo>
                <a:pt x="166657" y="433065"/>
                <a:pt x="165334" y="439127"/>
                <a:pt x="164224" y="445230"/>
              </a:cubicBezTo>
              <a:cubicBezTo>
                <a:pt x="162900" y="452510"/>
                <a:pt x="162084" y="459883"/>
                <a:pt x="160575" y="467127"/>
              </a:cubicBezTo>
              <a:cubicBezTo>
                <a:pt x="156000" y="489086"/>
                <a:pt x="151417" y="511056"/>
                <a:pt x="145977" y="532817"/>
              </a:cubicBezTo>
              <a:cubicBezTo>
                <a:pt x="143544" y="542549"/>
                <a:pt x="140854" y="552220"/>
                <a:pt x="138678" y="562012"/>
              </a:cubicBezTo>
              <a:cubicBezTo>
                <a:pt x="135987" y="574122"/>
                <a:pt x="134389" y="586471"/>
                <a:pt x="131380" y="598506"/>
              </a:cubicBezTo>
              <a:cubicBezTo>
                <a:pt x="128300" y="610827"/>
                <a:pt x="123511" y="622679"/>
                <a:pt x="120431" y="635000"/>
              </a:cubicBezTo>
              <a:cubicBezTo>
                <a:pt x="117422" y="647035"/>
                <a:pt x="115767" y="659372"/>
                <a:pt x="113132" y="671495"/>
              </a:cubicBezTo>
              <a:cubicBezTo>
                <a:pt x="109684" y="687354"/>
                <a:pt x="105584" y="703068"/>
                <a:pt x="102184" y="718937"/>
              </a:cubicBezTo>
              <a:cubicBezTo>
                <a:pt x="98285" y="737133"/>
                <a:pt x="95464" y="755557"/>
                <a:pt x="91236" y="773679"/>
              </a:cubicBezTo>
              <a:cubicBezTo>
                <a:pt x="86945" y="792070"/>
                <a:pt x="81218" y="810099"/>
                <a:pt x="76638" y="828420"/>
              </a:cubicBezTo>
              <a:cubicBezTo>
                <a:pt x="51561" y="928728"/>
                <a:pt x="81829" y="817068"/>
                <a:pt x="51092" y="970748"/>
              </a:cubicBezTo>
              <a:cubicBezTo>
                <a:pt x="35311" y="1049652"/>
                <a:pt x="50517" y="969007"/>
                <a:pt x="40144" y="1036437"/>
              </a:cubicBezTo>
              <a:cubicBezTo>
                <a:pt x="39201" y="1042568"/>
                <a:pt x="34534" y="1060569"/>
                <a:pt x="36495" y="1054684"/>
              </a:cubicBezTo>
              <a:lnTo>
                <a:pt x="40144" y="1043736"/>
              </a:lnTo>
              <a:cubicBezTo>
                <a:pt x="38928" y="1029138"/>
                <a:pt x="39194" y="1014340"/>
                <a:pt x="36495" y="999943"/>
              </a:cubicBezTo>
              <a:cubicBezTo>
                <a:pt x="35492" y="994596"/>
                <a:pt x="31406" y="990316"/>
                <a:pt x="29196" y="985345"/>
              </a:cubicBezTo>
              <a:cubicBezTo>
                <a:pt x="26535" y="979359"/>
                <a:pt x="24827" y="972957"/>
                <a:pt x="21897" y="967098"/>
              </a:cubicBezTo>
              <a:cubicBezTo>
                <a:pt x="19935" y="963175"/>
                <a:pt x="16560" y="960073"/>
                <a:pt x="14598" y="956150"/>
              </a:cubicBezTo>
              <a:cubicBezTo>
                <a:pt x="9676" y="946305"/>
                <a:pt x="5642" y="934259"/>
                <a:pt x="3650" y="923305"/>
              </a:cubicBezTo>
              <a:cubicBezTo>
                <a:pt x="2111" y="914842"/>
                <a:pt x="1217" y="906274"/>
                <a:pt x="0" y="897759"/>
              </a:cubicBezTo>
              <a:cubicBezTo>
                <a:pt x="3233" y="752306"/>
                <a:pt x="-2263" y="781963"/>
                <a:pt x="7299" y="700690"/>
              </a:cubicBezTo>
              <a:cubicBezTo>
                <a:pt x="8445" y="690950"/>
                <a:pt x="8894" y="681085"/>
                <a:pt x="10949" y="671495"/>
              </a:cubicBezTo>
              <a:cubicBezTo>
                <a:pt x="12561" y="663972"/>
                <a:pt x="16223" y="657021"/>
                <a:pt x="18247" y="649598"/>
              </a:cubicBezTo>
              <a:cubicBezTo>
                <a:pt x="19879" y="643614"/>
                <a:pt x="19935" y="637236"/>
                <a:pt x="21897" y="631351"/>
              </a:cubicBezTo>
              <a:cubicBezTo>
                <a:pt x="24827" y="622562"/>
                <a:pt x="29469" y="614432"/>
                <a:pt x="32845" y="605805"/>
              </a:cubicBezTo>
              <a:cubicBezTo>
                <a:pt x="40420" y="586447"/>
                <a:pt x="46554" y="566521"/>
                <a:pt x="54742" y="547414"/>
              </a:cubicBezTo>
              <a:cubicBezTo>
                <a:pt x="58391" y="538899"/>
                <a:pt x="62487" y="530561"/>
                <a:pt x="65690" y="521868"/>
              </a:cubicBezTo>
              <a:cubicBezTo>
                <a:pt x="71009" y="507429"/>
                <a:pt x="74574" y="492362"/>
                <a:pt x="80288" y="478075"/>
              </a:cubicBezTo>
              <a:cubicBezTo>
                <a:pt x="82721" y="471993"/>
                <a:pt x="84374" y="465538"/>
                <a:pt x="87586" y="459828"/>
              </a:cubicBezTo>
              <a:cubicBezTo>
                <a:pt x="95362" y="446004"/>
                <a:pt x="105537" y="433608"/>
                <a:pt x="113132" y="419684"/>
              </a:cubicBezTo>
              <a:cubicBezTo>
                <a:pt x="120431" y="406303"/>
                <a:pt x="127275" y="392663"/>
                <a:pt x="135029" y="379541"/>
              </a:cubicBezTo>
              <a:cubicBezTo>
                <a:pt x="143098" y="365886"/>
                <a:pt x="152825" y="353236"/>
                <a:pt x="160575" y="339397"/>
              </a:cubicBezTo>
              <a:cubicBezTo>
                <a:pt x="169878" y="322784"/>
                <a:pt x="174696" y="303538"/>
                <a:pt x="186121" y="288305"/>
              </a:cubicBezTo>
              <a:cubicBezTo>
                <a:pt x="193420" y="278573"/>
                <a:pt x="199417" y="267712"/>
                <a:pt x="208018" y="259110"/>
              </a:cubicBezTo>
              <a:cubicBezTo>
                <a:pt x="211667" y="255460"/>
                <a:pt x="215869" y="252290"/>
                <a:pt x="218966" y="248161"/>
              </a:cubicBezTo>
              <a:cubicBezTo>
                <a:pt x="223222" y="242486"/>
                <a:pt x="225742" y="235650"/>
                <a:pt x="229914" y="229914"/>
              </a:cubicBezTo>
              <a:cubicBezTo>
                <a:pt x="235502" y="222230"/>
                <a:pt x="242352" y="215536"/>
                <a:pt x="248161" y="208018"/>
              </a:cubicBezTo>
              <a:cubicBezTo>
                <a:pt x="263037" y="188766"/>
                <a:pt x="275790" y="167811"/>
                <a:pt x="291954" y="149627"/>
              </a:cubicBezTo>
              <a:cubicBezTo>
                <a:pt x="303477" y="136664"/>
                <a:pt x="348558" y="83357"/>
                <a:pt x="372242" y="62041"/>
              </a:cubicBezTo>
              <a:cubicBezTo>
                <a:pt x="376763" y="57972"/>
                <a:pt x="381890" y="54627"/>
                <a:pt x="386839" y="51092"/>
              </a:cubicBezTo>
              <a:cubicBezTo>
                <a:pt x="413750" y="31870"/>
                <a:pt x="376896" y="59713"/>
                <a:pt x="430632" y="32845"/>
              </a:cubicBezTo>
              <a:lnTo>
                <a:pt x="445230" y="25546"/>
              </a:lnTo>
              <a:cubicBezTo>
                <a:pt x="450418" y="26411"/>
                <a:pt x="479005" y="30934"/>
                <a:pt x="485374" y="32845"/>
              </a:cubicBezTo>
              <a:cubicBezTo>
                <a:pt x="491649" y="34727"/>
                <a:pt x="497487" y="37844"/>
                <a:pt x="503621" y="40144"/>
              </a:cubicBezTo>
              <a:cubicBezTo>
                <a:pt x="507223" y="41495"/>
                <a:pt x="511128" y="42074"/>
                <a:pt x="514569" y="43794"/>
              </a:cubicBezTo>
              <a:cubicBezTo>
                <a:pt x="542868" y="57943"/>
                <a:pt x="508948" y="45568"/>
                <a:pt x="536466" y="54742"/>
              </a:cubicBezTo>
              <a:cubicBezTo>
                <a:pt x="596388" y="102681"/>
                <a:pt x="528226" y="51598"/>
                <a:pt x="565661" y="72989"/>
              </a:cubicBezTo>
              <a:cubicBezTo>
                <a:pt x="590825" y="87368"/>
                <a:pt x="570496" y="79352"/>
                <a:pt x="591207" y="94886"/>
              </a:cubicBezTo>
              <a:cubicBezTo>
                <a:pt x="623417" y="119044"/>
                <a:pt x="595917" y="91297"/>
                <a:pt x="627701" y="120432"/>
              </a:cubicBezTo>
              <a:cubicBezTo>
                <a:pt x="627715" y="120445"/>
                <a:pt x="657239" y="149969"/>
                <a:pt x="664196" y="156926"/>
              </a:cubicBezTo>
              <a:cubicBezTo>
                <a:pt x="670278" y="163008"/>
                <a:pt x="677282" y="168292"/>
                <a:pt x="682443" y="175173"/>
              </a:cubicBezTo>
              <a:cubicBezTo>
                <a:pt x="686092" y="180039"/>
                <a:pt x="689350" y="185225"/>
                <a:pt x="693391" y="189771"/>
              </a:cubicBezTo>
              <a:cubicBezTo>
                <a:pt x="699106" y="196200"/>
                <a:pt x="705947" y="201568"/>
                <a:pt x="711638" y="208018"/>
              </a:cubicBezTo>
              <a:cubicBezTo>
                <a:pt x="724210" y="222266"/>
                <a:pt x="735967" y="237213"/>
                <a:pt x="748132" y="251811"/>
              </a:cubicBezTo>
              <a:cubicBezTo>
                <a:pt x="754214" y="259110"/>
                <a:pt x="760858" y="265976"/>
                <a:pt x="766380" y="273707"/>
              </a:cubicBezTo>
              <a:cubicBezTo>
                <a:pt x="772462" y="282222"/>
                <a:pt x="779009" y="290424"/>
                <a:pt x="784627" y="299253"/>
              </a:cubicBezTo>
              <a:cubicBezTo>
                <a:pt x="796052" y="317206"/>
                <a:pt x="804179" y="337378"/>
                <a:pt x="817472" y="353995"/>
              </a:cubicBezTo>
              <a:cubicBezTo>
                <a:pt x="822338" y="360077"/>
                <a:pt x="828120" y="365528"/>
                <a:pt x="832069" y="372242"/>
              </a:cubicBezTo>
              <a:cubicBezTo>
                <a:pt x="855547" y="412155"/>
                <a:pt x="857734" y="430868"/>
                <a:pt x="879512" y="474426"/>
              </a:cubicBezTo>
              <a:cubicBezTo>
                <a:pt x="884378" y="484158"/>
                <a:pt x="889748" y="493653"/>
                <a:pt x="894109" y="503621"/>
              </a:cubicBezTo>
              <a:cubicBezTo>
                <a:pt x="898275" y="513143"/>
                <a:pt x="900757" y="523355"/>
                <a:pt x="905058" y="532817"/>
              </a:cubicBezTo>
              <a:cubicBezTo>
                <a:pt x="912937" y="550151"/>
                <a:pt x="923918" y="566080"/>
                <a:pt x="930604" y="583909"/>
              </a:cubicBezTo>
              <a:cubicBezTo>
                <a:pt x="934253" y="593641"/>
                <a:pt x="937595" y="603493"/>
                <a:pt x="941552" y="613104"/>
              </a:cubicBezTo>
              <a:cubicBezTo>
                <a:pt x="946114" y="624183"/>
                <a:pt x="951943" y="634731"/>
                <a:pt x="956150" y="645949"/>
              </a:cubicBezTo>
              <a:cubicBezTo>
                <a:pt x="959260" y="654241"/>
                <a:pt x="960270" y="663229"/>
                <a:pt x="963449" y="671495"/>
              </a:cubicBezTo>
              <a:cubicBezTo>
                <a:pt x="966378" y="679111"/>
                <a:pt x="971468" y="685775"/>
                <a:pt x="974397" y="693391"/>
              </a:cubicBezTo>
              <a:cubicBezTo>
                <a:pt x="983105" y="716031"/>
                <a:pt x="979508" y="719487"/>
                <a:pt x="988995" y="740834"/>
              </a:cubicBezTo>
              <a:cubicBezTo>
                <a:pt x="990776" y="744842"/>
                <a:pt x="993860" y="748133"/>
                <a:pt x="996293" y="751782"/>
              </a:cubicBezTo>
              <a:cubicBezTo>
                <a:pt x="999356" y="770157"/>
                <a:pt x="1001180" y="784688"/>
                <a:pt x="1007242" y="802874"/>
              </a:cubicBezTo>
              <a:cubicBezTo>
                <a:pt x="1010172" y="811663"/>
                <a:pt x="1014541" y="819905"/>
                <a:pt x="1018190" y="828420"/>
              </a:cubicBezTo>
              <a:cubicBezTo>
                <a:pt x="1023692" y="866936"/>
                <a:pt x="1018644" y="845979"/>
                <a:pt x="1036437" y="890460"/>
              </a:cubicBezTo>
              <a:lnTo>
                <a:pt x="1036437" y="890460"/>
              </a:lnTo>
              <a:cubicBezTo>
                <a:pt x="1037653" y="895326"/>
                <a:pt x="1038110" y="900448"/>
                <a:pt x="1040086" y="905058"/>
              </a:cubicBezTo>
              <a:cubicBezTo>
                <a:pt x="1061323" y="954611"/>
                <a:pt x="1035645" y="880793"/>
                <a:pt x="1051035" y="926954"/>
              </a:cubicBezTo>
              <a:cubicBezTo>
                <a:pt x="1052251" y="934253"/>
                <a:pt x="1053134" y="941616"/>
                <a:pt x="1054684" y="948851"/>
              </a:cubicBezTo>
              <a:cubicBezTo>
                <a:pt x="1056786" y="958660"/>
                <a:pt x="1068002" y="986071"/>
                <a:pt x="1061983" y="978046"/>
              </a:cubicBezTo>
              <a:cubicBezTo>
                <a:pt x="1058334" y="973180"/>
                <a:pt x="1053755" y="968889"/>
                <a:pt x="1051035" y="963449"/>
              </a:cubicBezTo>
              <a:cubicBezTo>
                <a:pt x="1045176" y="951730"/>
                <a:pt x="1042297" y="938673"/>
                <a:pt x="1036437" y="926954"/>
              </a:cubicBezTo>
              <a:lnTo>
                <a:pt x="1029138" y="912357"/>
              </a:lnTo>
              <a:cubicBezTo>
                <a:pt x="1022191" y="884564"/>
                <a:pt x="1027732" y="902245"/>
                <a:pt x="1007242" y="861265"/>
              </a:cubicBezTo>
              <a:cubicBezTo>
                <a:pt x="1004809" y="856399"/>
                <a:pt x="1003342" y="850915"/>
                <a:pt x="999943" y="846667"/>
              </a:cubicBezTo>
              <a:cubicBezTo>
                <a:pt x="995077" y="840585"/>
                <a:pt x="989527" y="834992"/>
                <a:pt x="985345" y="828420"/>
              </a:cubicBezTo>
              <a:cubicBezTo>
                <a:pt x="980964" y="821535"/>
                <a:pt x="978305" y="813687"/>
                <a:pt x="974397" y="806523"/>
              </a:cubicBezTo>
              <a:cubicBezTo>
                <a:pt x="971001" y="800296"/>
                <a:pt x="966846" y="794503"/>
                <a:pt x="963449" y="788276"/>
              </a:cubicBezTo>
              <a:cubicBezTo>
                <a:pt x="959541" y="781112"/>
                <a:pt x="956777" y="773330"/>
                <a:pt x="952500" y="766380"/>
              </a:cubicBezTo>
              <a:cubicBezTo>
                <a:pt x="947015" y="757468"/>
                <a:pt x="939559" y="749854"/>
                <a:pt x="934253" y="740834"/>
              </a:cubicBezTo>
              <a:cubicBezTo>
                <a:pt x="927357" y="729111"/>
                <a:pt x="922406" y="716340"/>
                <a:pt x="916006" y="704340"/>
              </a:cubicBezTo>
              <a:cubicBezTo>
                <a:pt x="893208" y="661594"/>
                <a:pt x="869686" y="619238"/>
                <a:pt x="846667" y="576610"/>
              </a:cubicBezTo>
              <a:cubicBezTo>
                <a:pt x="836841" y="558413"/>
                <a:pt x="827322" y="540052"/>
                <a:pt x="817472" y="521868"/>
              </a:cubicBezTo>
              <a:cubicBezTo>
                <a:pt x="813468" y="514475"/>
                <a:pt x="795650" y="481837"/>
                <a:pt x="788276" y="470776"/>
              </a:cubicBezTo>
              <a:cubicBezTo>
                <a:pt x="785843" y="467127"/>
                <a:pt x="783153" y="463636"/>
                <a:pt x="780977" y="459828"/>
              </a:cubicBezTo>
              <a:cubicBezTo>
                <a:pt x="778278" y="455104"/>
                <a:pt x="776320" y="449986"/>
                <a:pt x="773678" y="445230"/>
              </a:cubicBezTo>
              <a:cubicBezTo>
                <a:pt x="770233" y="439029"/>
                <a:pt x="765524" y="433503"/>
                <a:pt x="762730" y="426983"/>
              </a:cubicBezTo>
              <a:cubicBezTo>
                <a:pt x="758184" y="416376"/>
                <a:pt x="755098" y="405192"/>
                <a:pt x="751782" y="394138"/>
              </a:cubicBezTo>
              <a:cubicBezTo>
                <a:pt x="744148" y="368690"/>
                <a:pt x="737519" y="342948"/>
                <a:pt x="729885" y="317500"/>
              </a:cubicBezTo>
              <a:cubicBezTo>
                <a:pt x="726569" y="306446"/>
                <a:pt x="724098" y="294978"/>
                <a:pt x="718937" y="284656"/>
              </a:cubicBezTo>
              <a:lnTo>
                <a:pt x="689742" y="226265"/>
              </a:lnTo>
              <a:cubicBezTo>
                <a:pt x="684876" y="216533"/>
                <a:pt x="679505" y="207037"/>
                <a:pt x="675144" y="197069"/>
              </a:cubicBezTo>
              <a:cubicBezTo>
                <a:pt x="666629" y="177606"/>
                <a:pt x="657967" y="158206"/>
                <a:pt x="649598" y="138679"/>
              </a:cubicBezTo>
              <a:cubicBezTo>
                <a:pt x="641781" y="120439"/>
                <a:pt x="644613" y="120422"/>
                <a:pt x="631351" y="105834"/>
              </a:cubicBezTo>
              <a:cubicBezTo>
                <a:pt x="623250" y="96923"/>
                <a:pt x="612485" y="90308"/>
                <a:pt x="605805" y="80288"/>
              </a:cubicBezTo>
              <a:cubicBezTo>
                <a:pt x="603372" y="76639"/>
                <a:pt x="601807" y="72228"/>
                <a:pt x="598506" y="69340"/>
              </a:cubicBezTo>
              <a:cubicBezTo>
                <a:pt x="591904" y="63563"/>
                <a:pt x="585119" y="56870"/>
                <a:pt x="576609" y="54742"/>
              </a:cubicBezTo>
              <a:cubicBezTo>
                <a:pt x="571743" y="53525"/>
                <a:pt x="566816" y="52533"/>
                <a:pt x="562012" y="51092"/>
              </a:cubicBezTo>
              <a:cubicBezTo>
                <a:pt x="554643" y="48881"/>
                <a:pt x="540115" y="43794"/>
                <a:pt x="540115" y="43794"/>
              </a:cubicBezTo>
              <a:cubicBezTo>
                <a:pt x="534033" y="45010"/>
                <a:pt x="527676" y="45265"/>
                <a:pt x="521868" y="47443"/>
              </a:cubicBezTo>
              <a:cubicBezTo>
                <a:pt x="517761" y="48983"/>
                <a:pt x="515042" y="53243"/>
                <a:pt x="510920" y="54742"/>
              </a:cubicBezTo>
              <a:cubicBezTo>
                <a:pt x="487418" y="63288"/>
                <a:pt x="484747" y="57594"/>
                <a:pt x="467127" y="69340"/>
              </a:cubicBezTo>
              <a:cubicBezTo>
                <a:pt x="426640" y="96331"/>
                <a:pt x="468413" y="74170"/>
                <a:pt x="434282" y="91236"/>
              </a:cubicBezTo>
              <a:cubicBezTo>
                <a:pt x="415603" y="122368"/>
                <a:pt x="428852" y="101945"/>
                <a:pt x="397788" y="142328"/>
              </a:cubicBezTo>
              <a:cubicBezTo>
                <a:pt x="394079" y="147149"/>
                <a:pt x="391140" y="152625"/>
                <a:pt x="386839" y="156926"/>
              </a:cubicBezTo>
              <a:cubicBezTo>
                <a:pt x="368361" y="175404"/>
                <a:pt x="349930" y="192625"/>
                <a:pt x="335747" y="215317"/>
              </a:cubicBezTo>
              <a:cubicBezTo>
                <a:pt x="329665" y="225049"/>
                <a:pt x="323866" y="234963"/>
                <a:pt x="317500" y="244512"/>
              </a:cubicBezTo>
              <a:cubicBezTo>
                <a:pt x="306831" y="260516"/>
                <a:pt x="293256" y="274750"/>
                <a:pt x="284655" y="291954"/>
              </a:cubicBezTo>
              <a:cubicBezTo>
                <a:pt x="279789" y="301686"/>
                <a:pt x="276094" y="312097"/>
                <a:pt x="270058" y="321150"/>
              </a:cubicBezTo>
              <a:cubicBezTo>
                <a:pt x="267625" y="324799"/>
                <a:pt x="264935" y="328290"/>
                <a:pt x="262759" y="332098"/>
              </a:cubicBezTo>
              <a:cubicBezTo>
                <a:pt x="246726" y="360155"/>
                <a:pt x="265448" y="333379"/>
                <a:pt x="244512" y="361294"/>
              </a:cubicBezTo>
              <a:cubicBezTo>
                <a:pt x="242079" y="368593"/>
                <a:pt x="240654" y="376309"/>
                <a:pt x="237213" y="383190"/>
              </a:cubicBezTo>
              <a:cubicBezTo>
                <a:pt x="230868" y="395879"/>
                <a:pt x="220584" y="406512"/>
                <a:pt x="215316" y="419684"/>
              </a:cubicBezTo>
              <a:lnTo>
                <a:pt x="200719" y="456179"/>
              </a:lnTo>
              <a:cubicBezTo>
                <a:pt x="198286" y="462261"/>
                <a:pt x="195492" y="468211"/>
                <a:pt x="193420" y="474426"/>
              </a:cubicBezTo>
              <a:cubicBezTo>
                <a:pt x="190987" y="481725"/>
                <a:pt x="188750" y="489092"/>
                <a:pt x="186121" y="496322"/>
              </a:cubicBezTo>
              <a:cubicBezTo>
                <a:pt x="183882" y="502478"/>
                <a:pt x="181002" y="508392"/>
                <a:pt x="178822" y="514569"/>
              </a:cubicBezTo>
              <a:cubicBezTo>
                <a:pt x="173701" y="529079"/>
                <a:pt x="164224" y="558363"/>
                <a:pt x="164224" y="558363"/>
              </a:cubicBezTo>
              <a:cubicBezTo>
                <a:pt x="163008" y="565662"/>
                <a:pt x="162522" y="573120"/>
                <a:pt x="160575" y="580259"/>
              </a:cubicBezTo>
              <a:cubicBezTo>
                <a:pt x="158851" y="586579"/>
                <a:pt x="155515" y="592350"/>
                <a:pt x="153276" y="598506"/>
              </a:cubicBezTo>
              <a:cubicBezTo>
                <a:pt x="150647" y="605737"/>
                <a:pt x="148410" y="613104"/>
                <a:pt x="145977" y="620403"/>
              </a:cubicBezTo>
              <a:cubicBezTo>
                <a:pt x="144761" y="624052"/>
                <a:pt x="143261" y="627619"/>
                <a:pt x="142328" y="631351"/>
              </a:cubicBezTo>
              <a:cubicBezTo>
                <a:pt x="141111" y="636217"/>
                <a:pt x="140119" y="641145"/>
                <a:pt x="138678" y="645949"/>
              </a:cubicBezTo>
              <a:cubicBezTo>
                <a:pt x="136467" y="653318"/>
                <a:pt x="133246" y="660381"/>
                <a:pt x="131380" y="667845"/>
              </a:cubicBezTo>
              <a:cubicBezTo>
                <a:pt x="129585" y="675024"/>
                <a:pt x="129711" y="682612"/>
                <a:pt x="127730" y="689742"/>
              </a:cubicBezTo>
              <a:cubicBezTo>
                <a:pt x="123612" y="704568"/>
                <a:pt x="113132" y="733535"/>
                <a:pt x="113132" y="733535"/>
              </a:cubicBezTo>
              <a:cubicBezTo>
                <a:pt x="111916" y="742050"/>
                <a:pt x="111569" y="750736"/>
                <a:pt x="109483" y="759081"/>
              </a:cubicBezTo>
              <a:cubicBezTo>
                <a:pt x="107894" y="765436"/>
                <a:pt x="103534" y="770918"/>
                <a:pt x="102184" y="777328"/>
              </a:cubicBezTo>
              <a:cubicBezTo>
                <a:pt x="85733" y="855468"/>
                <a:pt x="104407" y="804617"/>
                <a:pt x="87586" y="846667"/>
              </a:cubicBezTo>
              <a:cubicBezTo>
                <a:pt x="86199" y="853604"/>
                <a:pt x="84028" y="868384"/>
                <a:pt x="80288" y="875863"/>
              </a:cubicBezTo>
              <a:cubicBezTo>
                <a:pt x="78327" y="879786"/>
                <a:pt x="74770" y="882803"/>
                <a:pt x="72989" y="886811"/>
              </a:cubicBezTo>
              <a:cubicBezTo>
                <a:pt x="69864" y="893841"/>
                <a:pt x="65690" y="908707"/>
                <a:pt x="65690" y="908707"/>
              </a:cubicBezTo>
              <a:cubicBezTo>
                <a:pt x="64474" y="902625"/>
                <a:pt x="62810" y="896615"/>
                <a:pt x="62041" y="890460"/>
              </a:cubicBezTo>
              <a:cubicBezTo>
                <a:pt x="60374" y="877128"/>
                <a:pt x="59798" y="863679"/>
                <a:pt x="58391" y="850317"/>
              </a:cubicBezTo>
              <a:cubicBezTo>
                <a:pt x="57364" y="840563"/>
                <a:pt x="55958" y="830853"/>
                <a:pt x="54742" y="821121"/>
              </a:cubicBezTo>
              <a:cubicBezTo>
                <a:pt x="57175" y="778544"/>
                <a:pt x="56669" y="735697"/>
                <a:pt x="62041" y="693391"/>
              </a:cubicBezTo>
              <a:cubicBezTo>
                <a:pt x="66429" y="658834"/>
                <a:pt x="74367" y="624701"/>
                <a:pt x="83937" y="591207"/>
              </a:cubicBezTo>
              <a:cubicBezTo>
                <a:pt x="93457" y="557886"/>
                <a:pt x="101018" y="528627"/>
                <a:pt x="113132" y="496322"/>
              </a:cubicBezTo>
              <a:cubicBezTo>
                <a:pt x="128476" y="455405"/>
                <a:pt x="138252" y="439531"/>
                <a:pt x="156926" y="397788"/>
              </a:cubicBezTo>
              <a:cubicBezTo>
                <a:pt x="169385" y="369939"/>
                <a:pt x="182089" y="342178"/>
                <a:pt x="193420" y="313851"/>
              </a:cubicBezTo>
              <a:cubicBezTo>
                <a:pt x="198286" y="301686"/>
                <a:pt x="201888" y="288936"/>
                <a:pt x="208018" y="277357"/>
              </a:cubicBezTo>
              <a:cubicBezTo>
                <a:pt x="212914" y="268109"/>
                <a:pt x="220647" y="260640"/>
                <a:pt x="226265" y="251811"/>
              </a:cubicBezTo>
              <a:cubicBezTo>
                <a:pt x="237689" y="233858"/>
                <a:pt x="245260" y="213226"/>
                <a:pt x="259109" y="197069"/>
              </a:cubicBezTo>
              <a:cubicBezTo>
                <a:pt x="266408" y="188554"/>
                <a:pt x="274538" y="180686"/>
                <a:pt x="281006" y="171523"/>
              </a:cubicBezTo>
              <a:cubicBezTo>
                <a:pt x="325725" y="108173"/>
                <a:pt x="278979" y="149562"/>
                <a:pt x="353995" y="62041"/>
              </a:cubicBezTo>
              <a:cubicBezTo>
                <a:pt x="365781" y="48290"/>
                <a:pt x="371630" y="36801"/>
                <a:pt x="386839" y="29196"/>
              </a:cubicBezTo>
              <a:cubicBezTo>
                <a:pt x="390280" y="27475"/>
                <a:pt x="394138" y="26763"/>
                <a:pt x="397788" y="25546"/>
              </a:cubicBezTo>
              <a:cubicBezTo>
                <a:pt x="460341" y="41188"/>
                <a:pt x="368992" y="19464"/>
                <a:pt x="547414" y="32845"/>
              </a:cubicBezTo>
              <a:cubicBezTo>
                <a:pt x="551788" y="33173"/>
                <a:pt x="554439" y="38182"/>
                <a:pt x="558362" y="40144"/>
              </a:cubicBezTo>
              <a:cubicBezTo>
                <a:pt x="561803" y="41865"/>
                <a:pt x="565661" y="42577"/>
                <a:pt x="569311" y="43794"/>
              </a:cubicBezTo>
              <a:cubicBezTo>
                <a:pt x="571744" y="47443"/>
                <a:pt x="573801" y="51373"/>
                <a:pt x="576609" y="54742"/>
              </a:cubicBezTo>
              <a:cubicBezTo>
                <a:pt x="592994" y="74404"/>
                <a:pt x="583124" y="56360"/>
                <a:pt x="598506" y="80288"/>
              </a:cubicBezTo>
              <a:cubicBezTo>
                <a:pt x="598523" y="80315"/>
                <a:pt x="625869" y="125891"/>
                <a:pt x="631351" y="135029"/>
              </a:cubicBezTo>
              <a:cubicBezTo>
                <a:pt x="635000" y="141111"/>
                <a:pt x="638043" y="147601"/>
                <a:pt x="642299" y="153276"/>
              </a:cubicBezTo>
              <a:lnTo>
                <a:pt x="653247" y="167874"/>
              </a:lnTo>
              <a:cubicBezTo>
                <a:pt x="654464" y="172740"/>
                <a:pt x="654921" y="177862"/>
                <a:pt x="656897" y="182472"/>
              </a:cubicBezTo>
              <a:cubicBezTo>
                <a:pt x="658625" y="186503"/>
                <a:pt x="662117" y="189558"/>
                <a:pt x="664196" y="193420"/>
              </a:cubicBezTo>
              <a:cubicBezTo>
                <a:pt x="670644" y="205395"/>
                <a:pt x="677086" y="217413"/>
                <a:pt x="682443" y="229914"/>
              </a:cubicBezTo>
              <a:cubicBezTo>
                <a:pt x="723355" y="325377"/>
                <a:pt x="685541" y="244344"/>
                <a:pt x="722586" y="310202"/>
              </a:cubicBezTo>
              <a:cubicBezTo>
                <a:pt x="727920" y="319685"/>
                <a:pt x="731850" y="329914"/>
                <a:pt x="737184" y="339397"/>
              </a:cubicBezTo>
              <a:cubicBezTo>
                <a:pt x="742810" y="349399"/>
                <a:pt x="750030" y="358466"/>
                <a:pt x="755431" y="368592"/>
              </a:cubicBezTo>
              <a:cubicBezTo>
                <a:pt x="759791" y="376767"/>
                <a:pt x="762237" y="385852"/>
                <a:pt x="766380" y="394138"/>
              </a:cubicBezTo>
              <a:cubicBezTo>
                <a:pt x="770766" y="402910"/>
                <a:pt x="776462" y="410977"/>
                <a:pt x="780977" y="419684"/>
              </a:cubicBezTo>
              <a:cubicBezTo>
                <a:pt x="844697" y="542573"/>
                <a:pt x="796794" y="450557"/>
                <a:pt x="832069" y="525518"/>
              </a:cubicBezTo>
              <a:cubicBezTo>
                <a:pt x="836702" y="535363"/>
                <a:pt x="842306" y="544745"/>
                <a:pt x="846667" y="554713"/>
              </a:cubicBezTo>
              <a:cubicBezTo>
                <a:pt x="850833" y="564235"/>
                <a:pt x="853755" y="574259"/>
                <a:pt x="857615" y="583909"/>
              </a:cubicBezTo>
              <a:cubicBezTo>
                <a:pt x="861056" y="592511"/>
                <a:pt x="865123" y="600852"/>
                <a:pt x="868564" y="609454"/>
              </a:cubicBezTo>
              <a:cubicBezTo>
                <a:pt x="875087" y="625761"/>
                <a:pt x="885638" y="655099"/>
                <a:pt x="890460" y="671495"/>
              </a:cubicBezTo>
              <a:cubicBezTo>
                <a:pt x="899838" y="703379"/>
                <a:pt x="895064" y="696256"/>
                <a:pt x="905058" y="726236"/>
              </a:cubicBezTo>
              <a:cubicBezTo>
                <a:pt x="907130" y="732451"/>
                <a:pt x="910118" y="738326"/>
                <a:pt x="912357" y="744483"/>
              </a:cubicBezTo>
              <a:cubicBezTo>
                <a:pt x="914986" y="751714"/>
                <a:pt x="916214" y="759499"/>
                <a:pt x="919655" y="766380"/>
              </a:cubicBezTo>
              <a:cubicBezTo>
                <a:pt x="922088" y="771246"/>
                <a:pt x="924934" y="775926"/>
                <a:pt x="926954" y="780977"/>
              </a:cubicBezTo>
              <a:cubicBezTo>
                <a:pt x="939984" y="813550"/>
                <a:pt x="927509" y="792758"/>
                <a:pt x="941552" y="813822"/>
              </a:cubicBezTo>
              <a:cubicBezTo>
                <a:pt x="942768" y="821121"/>
                <a:pt x="943750" y="828463"/>
                <a:pt x="945201" y="835719"/>
              </a:cubicBezTo>
              <a:cubicBezTo>
                <a:pt x="946185" y="840637"/>
                <a:pt x="947867" y="845399"/>
                <a:pt x="948851" y="850317"/>
              </a:cubicBezTo>
              <a:cubicBezTo>
                <a:pt x="950302" y="857573"/>
                <a:pt x="951375" y="864900"/>
                <a:pt x="952500" y="872213"/>
              </a:cubicBezTo>
              <a:cubicBezTo>
                <a:pt x="953808" y="880715"/>
                <a:pt x="954463" y="889324"/>
                <a:pt x="956150" y="897759"/>
              </a:cubicBezTo>
              <a:cubicBezTo>
                <a:pt x="956904" y="901531"/>
                <a:pt x="958965" y="904952"/>
                <a:pt x="959799" y="908707"/>
              </a:cubicBezTo>
              <a:cubicBezTo>
                <a:pt x="961404" y="915930"/>
                <a:pt x="961844" y="923381"/>
                <a:pt x="963449" y="930604"/>
              </a:cubicBezTo>
              <a:cubicBezTo>
                <a:pt x="964283" y="934359"/>
                <a:pt x="966041" y="937853"/>
                <a:pt x="967098" y="941552"/>
              </a:cubicBezTo>
              <a:cubicBezTo>
                <a:pt x="968476" y="946375"/>
                <a:pt x="969369" y="951327"/>
                <a:pt x="970747" y="956150"/>
              </a:cubicBezTo>
              <a:cubicBezTo>
                <a:pt x="971804" y="959849"/>
                <a:pt x="973385" y="963387"/>
                <a:pt x="974397" y="967098"/>
              </a:cubicBezTo>
              <a:cubicBezTo>
                <a:pt x="977037" y="976776"/>
                <a:pt x="981696" y="986262"/>
                <a:pt x="981696" y="996294"/>
              </a:cubicBezTo>
              <a:lnTo>
                <a:pt x="981696" y="1047386"/>
              </a:lnTo>
            </a:path>
          </a:pathLst>
        </a:custGeom>
        <a:noFill/>
        <a:ln>
          <a:solidFill>
            <a:schemeClr val="accent4">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7</xdr:col>
      <xdr:colOff>368593</xdr:colOff>
      <xdr:row>76</xdr:row>
      <xdr:rowOff>91236</xdr:rowOff>
    </xdr:from>
    <xdr:to>
      <xdr:col>8</xdr:col>
      <xdr:colOff>478075</xdr:colOff>
      <xdr:row>80</xdr:row>
      <xdr:rowOff>76638</xdr:rowOff>
    </xdr:to>
    <xdr:sp macro="" textlink="">
      <xdr:nvSpPr>
        <xdr:cNvPr id="97" name="Rounded Rectangle 96">
          <a:extLst>
            <a:ext uri="{FF2B5EF4-FFF2-40B4-BE49-F238E27FC236}">
              <a16:creationId xmlns:a16="http://schemas.microsoft.com/office/drawing/2014/main" id="{1660BD8E-F742-B44F-9A18-12D9F35A0E96}"/>
            </a:ext>
          </a:extLst>
        </xdr:cNvPr>
        <xdr:cNvSpPr/>
      </xdr:nvSpPr>
      <xdr:spPr>
        <a:xfrm>
          <a:off x="13517909925" y="96522336"/>
          <a:ext cx="934982" cy="798202"/>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en-US" sz="1100"/>
            <a:t>Wonder</a:t>
          </a:r>
        </a:p>
        <a:p>
          <a:pPr algn="r" rtl="1"/>
          <a:r>
            <a:rPr lang="en-US" sz="1100"/>
            <a:t>Woman</a:t>
          </a:r>
        </a:p>
      </xdr:txBody>
    </xdr:sp>
    <xdr:clientData/>
  </xdr:twoCellAnchor>
  <xdr:twoCellAnchor>
    <xdr:from>
      <xdr:col>7</xdr:col>
      <xdr:colOff>423333</xdr:colOff>
      <xdr:row>79</xdr:row>
      <xdr:rowOff>182471</xdr:rowOff>
    </xdr:from>
    <xdr:to>
      <xdr:col>8</xdr:col>
      <xdr:colOff>445230</xdr:colOff>
      <xdr:row>83</xdr:row>
      <xdr:rowOff>58391</xdr:rowOff>
    </xdr:to>
    <xdr:sp macro="" textlink="">
      <xdr:nvSpPr>
        <xdr:cNvPr id="98" name="Triangle 97">
          <a:extLst>
            <a:ext uri="{FF2B5EF4-FFF2-40B4-BE49-F238E27FC236}">
              <a16:creationId xmlns:a16="http://schemas.microsoft.com/office/drawing/2014/main" id="{5C65A94C-009E-CA4D-B9E0-5A68673F99FA}"/>
            </a:ext>
          </a:extLst>
        </xdr:cNvPr>
        <xdr:cNvSpPr/>
      </xdr:nvSpPr>
      <xdr:spPr>
        <a:xfrm>
          <a:off x="13517942770" y="97223171"/>
          <a:ext cx="847397" cy="688720"/>
        </a:xfrm>
        <a:prstGeom prst="triangl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6</xdr:col>
      <xdr:colOff>718937</xdr:colOff>
      <xdr:row>73</xdr:row>
      <xdr:rowOff>21897</xdr:rowOff>
    </xdr:from>
    <xdr:to>
      <xdr:col>7</xdr:col>
      <xdr:colOff>368593</xdr:colOff>
      <xdr:row>78</xdr:row>
      <xdr:rowOff>83937</xdr:rowOff>
    </xdr:to>
    <xdr:cxnSp macro="">
      <xdr:nvCxnSpPr>
        <xdr:cNvPr id="99" name="Straight Connector 98">
          <a:extLst>
            <a:ext uri="{FF2B5EF4-FFF2-40B4-BE49-F238E27FC236}">
              <a16:creationId xmlns:a16="http://schemas.microsoft.com/office/drawing/2014/main" id="{0B18C4B5-B7B5-A34D-905F-703AD965E700}"/>
            </a:ext>
          </a:extLst>
        </xdr:cNvPr>
        <xdr:cNvCxnSpPr>
          <a:stCxn id="97" idx="3"/>
        </xdr:cNvCxnSpPr>
      </xdr:nvCxnSpPr>
      <xdr:spPr>
        <a:xfrm flipV="1">
          <a:off x="13518844907" y="95843397"/>
          <a:ext cx="602156" cy="107804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478075</xdr:colOff>
      <xdr:row>73</xdr:row>
      <xdr:rowOff>32845</xdr:rowOff>
    </xdr:from>
    <xdr:to>
      <xdr:col>9</xdr:col>
      <xdr:colOff>91236</xdr:colOff>
      <xdr:row>78</xdr:row>
      <xdr:rowOff>83937</xdr:rowOff>
    </xdr:to>
    <xdr:cxnSp macro="">
      <xdr:nvCxnSpPr>
        <xdr:cNvPr id="100" name="Straight Connector 99">
          <a:extLst>
            <a:ext uri="{FF2B5EF4-FFF2-40B4-BE49-F238E27FC236}">
              <a16:creationId xmlns:a16="http://schemas.microsoft.com/office/drawing/2014/main" id="{BB246C84-65B3-B64D-A11B-0DB842326BAD}"/>
            </a:ext>
          </a:extLst>
        </xdr:cNvPr>
        <xdr:cNvCxnSpPr>
          <a:stCxn id="97" idx="1"/>
        </xdr:cNvCxnSpPr>
      </xdr:nvCxnSpPr>
      <xdr:spPr>
        <a:xfrm flipH="1" flipV="1">
          <a:off x="13517471264" y="95854345"/>
          <a:ext cx="438661" cy="1067092"/>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197069</xdr:colOff>
      <xdr:row>82</xdr:row>
      <xdr:rowOff>138678</xdr:rowOff>
    </xdr:from>
    <xdr:to>
      <xdr:col>8</xdr:col>
      <xdr:colOff>799225</xdr:colOff>
      <xdr:row>88</xdr:row>
      <xdr:rowOff>29195</xdr:rowOff>
    </xdr:to>
    <xdr:cxnSp macro="">
      <xdr:nvCxnSpPr>
        <xdr:cNvPr id="101" name="Straight Connector 100">
          <a:extLst>
            <a:ext uri="{FF2B5EF4-FFF2-40B4-BE49-F238E27FC236}">
              <a16:creationId xmlns:a16="http://schemas.microsoft.com/office/drawing/2014/main" id="{75260312-9849-684C-BEA8-F0064561B8FD}"/>
            </a:ext>
          </a:extLst>
        </xdr:cNvPr>
        <xdr:cNvCxnSpPr/>
      </xdr:nvCxnSpPr>
      <xdr:spPr>
        <a:xfrm flipV="1">
          <a:off x="13517588775" y="97788978"/>
          <a:ext cx="602156" cy="1109717"/>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350345</xdr:colOff>
      <xdr:row>82</xdr:row>
      <xdr:rowOff>113132</xdr:rowOff>
    </xdr:from>
    <xdr:to>
      <xdr:col>7</xdr:col>
      <xdr:colOff>788276</xdr:colOff>
      <xdr:row>87</xdr:row>
      <xdr:rowOff>197069</xdr:rowOff>
    </xdr:to>
    <xdr:cxnSp macro="">
      <xdr:nvCxnSpPr>
        <xdr:cNvPr id="102" name="Straight Connector 101">
          <a:extLst>
            <a:ext uri="{FF2B5EF4-FFF2-40B4-BE49-F238E27FC236}">
              <a16:creationId xmlns:a16="http://schemas.microsoft.com/office/drawing/2014/main" id="{DD65886F-A789-7141-A7FF-102334F374C6}"/>
            </a:ext>
          </a:extLst>
        </xdr:cNvPr>
        <xdr:cNvCxnSpPr/>
      </xdr:nvCxnSpPr>
      <xdr:spPr>
        <a:xfrm flipH="1" flipV="1">
          <a:off x="13518425224" y="97763432"/>
          <a:ext cx="437931" cy="1099937"/>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711639</xdr:colOff>
      <xdr:row>75</xdr:row>
      <xdr:rowOff>18247</xdr:rowOff>
    </xdr:from>
    <xdr:to>
      <xdr:col>8</xdr:col>
      <xdr:colOff>182472</xdr:colOff>
      <xdr:row>76</xdr:row>
      <xdr:rowOff>98534</xdr:rowOff>
    </xdr:to>
    <xdr:sp macro="" textlink="">
      <xdr:nvSpPr>
        <xdr:cNvPr id="103" name="Rounded Rectangle 102">
          <a:extLst>
            <a:ext uri="{FF2B5EF4-FFF2-40B4-BE49-F238E27FC236}">
              <a16:creationId xmlns:a16="http://schemas.microsoft.com/office/drawing/2014/main" id="{7ACBEC20-48A3-8845-8409-0FA7FBD99B01}"/>
            </a:ext>
          </a:extLst>
        </xdr:cNvPr>
        <xdr:cNvSpPr/>
      </xdr:nvSpPr>
      <xdr:spPr>
        <a:xfrm>
          <a:off x="13518205528" y="96246147"/>
          <a:ext cx="296333" cy="283487"/>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2</xdr:col>
      <xdr:colOff>27808</xdr:colOff>
      <xdr:row>139</xdr:row>
      <xdr:rowOff>111234</xdr:rowOff>
    </xdr:from>
    <xdr:to>
      <xdr:col>3</xdr:col>
      <xdr:colOff>808858</xdr:colOff>
      <xdr:row>139</xdr:row>
      <xdr:rowOff>117584</xdr:rowOff>
    </xdr:to>
    <xdr:cxnSp macro="">
      <xdr:nvCxnSpPr>
        <xdr:cNvPr id="104" name="Straight Arrow Connector 103">
          <a:extLst>
            <a:ext uri="{FF2B5EF4-FFF2-40B4-BE49-F238E27FC236}">
              <a16:creationId xmlns:a16="http://schemas.microsoft.com/office/drawing/2014/main" id="{169FBB68-0752-A04E-BF07-B5937D332128}"/>
            </a:ext>
          </a:extLst>
        </xdr:cNvPr>
        <xdr:cNvCxnSpPr/>
      </xdr:nvCxnSpPr>
      <xdr:spPr>
        <a:xfrm flipH="1">
          <a:off x="13557575383" y="28046855"/>
          <a:ext cx="1608740"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664052</xdr:colOff>
      <xdr:row>139</xdr:row>
      <xdr:rowOff>29052</xdr:rowOff>
    </xdr:from>
    <xdr:to>
      <xdr:col>0</xdr:col>
      <xdr:colOff>809313</xdr:colOff>
      <xdr:row>139</xdr:row>
      <xdr:rowOff>166012</xdr:rowOff>
    </xdr:to>
    <xdr:sp macro="" textlink="">
      <xdr:nvSpPr>
        <xdr:cNvPr id="105" name="Rectangle 104">
          <a:extLst>
            <a:ext uri="{FF2B5EF4-FFF2-40B4-BE49-F238E27FC236}">
              <a16:creationId xmlns:a16="http://schemas.microsoft.com/office/drawing/2014/main" id="{143120CB-026B-0549-AE4C-D233F41EBA6F}"/>
            </a:ext>
          </a:extLst>
        </xdr:cNvPr>
        <xdr:cNvSpPr/>
      </xdr:nvSpPr>
      <xdr:spPr>
        <a:xfrm>
          <a:off x="13536717434" y="23164474"/>
          <a:ext cx="145261"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1</a:t>
          </a:r>
          <a:endParaRPr lang="en-US" sz="1100"/>
        </a:p>
      </xdr:txBody>
    </xdr:sp>
    <xdr:clientData/>
  </xdr:twoCellAnchor>
  <xdr:twoCellAnchor>
    <xdr:from>
      <xdr:col>1</xdr:col>
      <xdr:colOff>722157</xdr:colOff>
      <xdr:row>140</xdr:row>
      <xdr:rowOff>136961</xdr:rowOff>
    </xdr:from>
    <xdr:to>
      <xdr:col>2</xdr:col>
      <xdr:colOff>41503</xdr:colOff>
      <xdr:row>140</xdr:row>
      <xdr:rowOff>273921</xdr:rowOff>
    </xdr:to>
    <xdr:sp macro="" textlink="">
      <xdr:nvSpPr>
        <xdr:cNvPr id="106" name="Rectangle 105">
          <a:extLst>
            <a:ext uri="{FF2B5EF4-FFF2-40B4-BE49-F238E27FC236}">
              <a16:creationId xmlns:a16="http://schemas.microsoft.com/office/drawing/2014/main" id="{A472E406-50BF-A545-9A0C-77690123FFE0}"/>
            </a:ext>
          </a:extLst>
        </xdr:cNvPr>
        <xdr:cNvSpPr/>
      </xdr:nvSpPr>
      <xdr:spPr>
        <a:xfrm>
          <a:off x="13535832714" y="23475124"/>
          <a:ext cx="145611"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2</a:t>
          </a:r>
          <a:endParaRPr lang="en-US" sz="1100"/>
        </a:p>
      </xdr:txBody>
    </xdr:sp>
    <xdr:clientData/>
  </xdr:twoCellAnchor>
  <xdr:twoCellAnchor>
    <xdr:from>
      <xdr:col>2</xdr:col>
      <xdr:colOff>751209</xdr:colOff>
      <xdr:row>141</xdr:row>
      <xdr:rowOff>45654</xdr:rowOff>
    </xdr:from>
    <xdr:to>
      <xdr:col>3</xdr:col>
      <xdr:colOff>70555</xdr:colOff>
      <xdr:row>141</xdr:row>
      <xdr:rowOff>182614</xdr:rowOff>
    </xdr:to>
    <xdr:sp macro="" textlink="">
      <xdr:nvSpPr>
        <xdr:cNvPr id="107" name="Rectangle 106">
          <a:extLst>
            <a:ext uri="{FF2B5EF4-FFF2-40B4-BE49-F238E27FC236}">
              <a16:creationId xmlns:a16="http://schemas.microsoft.com/office/drawing/2014/main" id="{87027DB5-919A-504E-9958-13582E10FE5B}"/>
            </a:ext>
          </a:extLst>
        </xdr:cNvPr>
        <xdr:cNvSpPr/>
      </xdr:nvSpPr>
      <xdr:spPr>
        <a:xfrm>
          <a:off x="13534977397" y="23816076"/>
          <a:ext cx="145611"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3</a:t>
          </a:r>
          <a:endParaRPr lang="en-US" sz="1100"/>
        </a:p>
      </xdr:txBody>
    </xdr:sp>
    <xdr:clientData/>
  </xdr:twoCellAnchor>
  <xdr:twoCellAnchor>
    <xdr:from>
      <xdr:col>1</xdr:col>
      <xdr:colOff>630849</xdr:colOff>
      <xdr:row>143</xdr:row>
      <xdr:rowOff>460687</xdr:rowOff>
    </xdr:from>
    <xdr:to>
      <xdr:col>1</xdr:col>
      <xdr:colOff>776110</xdr:colOff>
      <xdr:row>143</xdr:row>
      <xdr:rowOff>597647</xdr:rowOff>
    </xdr:to>
    <xdr:sp macro="" textlink="">
      <xdr:nvSpPr>
        <xdr:cNvPr id="108" name="Rectangle 107">
          <a:extLst>
            <a:ext uri="{FF2B5EF4-FFF2-40B4-BE49-F238E27FC236}">
              <a16:creationId xmlns:a16="http://schemas.microsoft.com/office/drawing/2014/main" id="{CFDC0821-D11A-424F-B3F4-738151A3783E}"/>
            </a:ext>
          </a:extLst>
        </xdr:cNvPr>
        <xdr:cNvSpPr/>
      </xdr:nvSpPr>
      <xdr:spPr>
        <a:xfrm>
          <a:off x="13535924372" y="24636591"/>
          <a:ext cx="145261"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4</a:t>
          </a:r>
          <a:endParaRPr lang="en-US" sz="1100"/>
        </a:p>
      </xdr:txBody>
    </xdr:sp>
    <xdr:clientData/>
  </xdr:twoCellAnchor>
  <xdr:twoCellAnchor>
    <xdr:from>
      <xdr:col>4</xdr:col>
      <xdr:colOff>693104</xdr:colOff>
      <xdr:row>143</xdr:row>
      <xdr:rowOff>481439</xdr:rowOff>
    </xdr:from>
    <xdr:to>
      <xdr:col>5</xdr:col>
      <xdr:colOff>12450</xdr:colOff>
      <xdr:row>143</xdr:row>
      <xdr:rowOff>618399</xdr:rowOff>
    </xdr:to>
    <xdr:sp macro="" textlink="">
      <xdr:nvSpPr>
        <xdr:cNvPr id="109" name="Rectangle 108">
          <a:extLst>
            <a:ext uri="{FF2B5EF4-FFF2-40B4-BE49-F238E27FC236}">
              <a16:creationId xmlns:a16="http://schemas.microsoft.com/office/drawing/2014/main" id="{41418BC2-BFFA-3D43-8BCD-B2F786F7299A}"/>
            </a:ext>
          </a:extLst>
        </xdr:cNvPr>
        <xdr:cNvSpPr/>
      </xdr:nvSpPr>
      <xdr:spPr>
        <a:xfrm>
          <a:off x="13533382972" y="24657343"/>
          <a:ext cx="145611"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5</a:t>
          </a:r>
          <a:endParaRPr lang="en-US" sz="1100"/>
        </a:p>
      </xdr:txBody>
    </xdr:sp>
    <xdr:clientData/>
  </xdr:twoCellAnchor>
  <xdr:twoCellAnchor>
    <xdr:from>
      <xdr:col>4</xdr:col>
      <xdr:colOff>742908</xdr:colOff>
      <xdr:row>142</xdr:row>
      <xdr:rowOff>45655</xdr:rowOff>
    </xdr:from>
    <xdr:to>
      <xdr:col>5</xdr:col>
      <xdr:colOff>62254</xdr:colOff>
      <xdr:row>142</xdr:row>
      <xdr:rowOff>182615</xdr:rowOff>
    </xdr:to>
    <xdr:sp macro="" textlink="">
      <xdr:nvSpPr>
        <xdr:cNvPr id="110" name="Rectangle 109">
          <a:extLst>
            <a:ext uri="{FF2B5EF4-FFF2-40B4-BE49-F238E27FC236}">
              <a16:creationId xmlns:a16="http://schemas.microsoft.com/office/drawing/2014/main" id="{F50FD6EE-A391-6C4C-B37F-0E3975FA0A6F}"/>
            </a:ext>
          </a:extLst>
        </xdr:cNvPr>
        <xdr:cNvSpPr/>
      </xdr:nvSpPr>
      <xdr:spPr>
        <a:xfrm>
          <a:off x="13533333168" y="24018818"/>
          <a:ext cx="145611"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6</a:t>
          </a:r>
          <a:endParaRPr lang="en-US" sz="1100"/>
        </a:p>
      </xdr:txBody>
    </xdr:sp>
    <xdr:clientData/>
  </xdr:twoCellAnchor>
  <xdr:twoCellAnchor>
    <xdr:from>
      <xdr:col>2</xdr:col>
      <xdr:colOff>19050</xdr:colOff>
      <xdr:row>147</xdr:row>
      <xdr:rowOff>457200</xdr:rowOff>
    </xdr:from>
    <xdr:to>
      <xdr:col>3</xdr:col>
      <xdr:colOff>800100</xdr:colOff>
      <xdr:row>147</xdr:row>
      <xdr:rowOff>463550</xdr:rowOff>
    </xdr:to>
    <xdr:cxnSp macro="">
      <xdr:nvCxnSpPr>
        <xdr:cNvPr id="111" name="Straight Arrow Connector 110">
          <a:extLst>
            <a:ext uri="{FF2B5EF4-FFF2-40B4-BE49-F238E27FC236}">
              <a16:creationId xmlns:a16="http://schemas.microsoft.com/office/drawing/2014/main" id="{A8DF0254-07B5-FD4E-8F3F-EE0408AE7A75}"/>
            </a:ext>
          </a:extLst>
        </xdr:cNvPr>
        <xdr:cNvCxnSpPr/>
      </xdr:nvCxnSpPr>
      <xdr:spPr>
        <a:xfrm flipH="1">
          <a:off x="13534247852" y="29575393"/>
          <a:ext cx="1607315"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722157</xdr:colOff>
      <xdr:row>144</xdr:row>
      <xdr:rowOff>17517</xdr:rowOff>
    </xdr:from>
    <xdr:to>
      <xdr:col>2</xdr:col>
      <xdr:colOff>41503</xdr:colOff>
      <xdr:row>144</xdr:row>
      <xdr:rowOff>197721</xdr:rowOff>
    </xdr:to>
    <xdr:sp macro="" textlink="">
      <xdr:nvSpPr>
        <xdr:cNvPr id="112" name="Rectangle 111">
          <a:extLst>
            <a:ext uri="{FF2B5EF4-FFF2-40B4-BE49-F238E27FC236}">
              <a16:creationId xmlns:a16="http://schemas.microsoft.com/office/drawing/2014/main" id="{1B6B0842-992C-3F42-8EEF-1CFE27320A1D}"/>
            </a:ext>
          </a:extLst>
        </xdr:cNvPr>
        <xdr:cNvSpPr/>
      </xdr:nvSpPr>
      <xdr:spPr>
        <a:xfrm>
          <a:off x="13559170428" y="29665448"/>
          <a:ext cx="147035" cy="1802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2</a:t>
          </a:r>
          <a:endParaRPr lang="en-US" sz="1100"/>
        </a:p>
      </xdr:txBody>
    </xdr:sp>
    <xdr:clientData/>
  </xdr:twoCellAnchor>
  <xdr:twoCellAnchor>
    <xdr:from>
      <xdr:col>2</xdr:col>
      <xdr:colOff>751209</xdr:colOff>
      <xdr:row>145</xdr:row>
      <xdr:rowOff>45654</xdr:rowOff>
    </xdr:from>
    <xdr:to>
      <xdr:col>3</xdr:col>
      <xdr:colOff>70555</xdr:colOff>
      <xdr:row>145</xdr:row>
      <xdr:rowOff>182614</xdr:rowOff>
    </xdr:to>
    <xdr:sp macro="" textlink="">
      <xdr:nvSpPr>
        <xdr:cNvPr id="113" name="Rectangle 112">
          <a:extLst>
            <a:ext uri="{FF2B5EF4-FFF2-40B4-BE49-F238E27FC236}">
              <a16:creationId xmlns:a16="http://schemas.microsoft.com/office/drawing/2014/main" id="{59F5A7DD-9443-E94D-B956-00A1121AF484}"/>
            </a:ext>
          </a:extLst>
        </xdr:cNvPr>
        <xdr:cNvSpPr/>
      </xdr:nvSpPr>
      <xdr:spPr>
        <a:xfrm>
          <a:off x="13534977397" y="28758365"/>
          <a:ext cx="145611"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3</a:t>
          </a:r>
          <a:endParaRPr lang="en-US" sz="1100"/>
        </a:p>
      </xdr:txBody>
    </xdr:sp>
    <xdr:clientData/>
  </xdr:twoCellAnchor>
  <xdr:twoCellAnchor>
    <xdr:from>
      <xdr:col>1</xdr:col>
      <xdr:colOff>648367</xdr:colOff>
      <xdr:row>147</xdr:row>
      <xdr:rowOff>631480</xdr:rowOff>
    </xdr:from>
    <xdr:to>
      <xdr:col>1</xdr:col>
      <xdr:colOff>793628</xdr:colOff>
      <xdr:row>147</xdr:row>
      <xdr:rowOff>768440</xdr:rowOff>
    </xdr:to>
    <xdr:sp macro="" textlink="">
      <xdr:nvSpPr>
        <xdr:cNvPr id="114" name="Rectangle 113">
          <a:extLst>
            <a:ext uri="{FF2B5EF4-FFF2-40B4-BE49-F238E27FC236}">
              <a16:creationId xmlns:a16="http://schemas.microsoft.com/office/drawing/2014/main" id="{B8C791D6-578C-674C-884B-52D05BA5FF41}"/>
            </a:ext>
          </a:extLst>
        </xdr:cNvPr>
        <xdr:cNvSpPr/>
      </xdr:nvSpPr>
      <xdr:spPr>
        <a:xfrm>
          <a:off x="13559245992" y="30883756"/>
          <a:ext cx="145261"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4</a:t>
          </a:r>
          <a:endParaRPr lang="en-US" sz="1100"/>
        </a:p>
      </xdr:txBody>
    </xdr:sp>
    <xdr:clientData/>
  </xdr:twoCellAnchor>
  <xdr:twoCellAnchor>
    <xdr:from>
      <xdr:col>4</xdr:col>
      <xdr:colOff>693104</xdr:colOff>
      <xdr:row>147</xdr:row>
      <xdr:rowOff>481439</xdr:rowOff>
    </xdr:from>
    <xdr:to>
      <xdr:col>5</xdr:col>
      <xdr:colOff>12450</xdr:colOff>
      <xdr:row>147</xdr:row>
      <xdr:rowOff>618399</xdr:rowOff>
    </xdr:to>
    <xdr:sp macro="" textlink="">
      <xdr:nvSpPr>
        <xdr:cNvPr id="115" name="Rectangle 114">
          <a:extLst>
            <a:ext uri="{FF2B5EF4-FFF2-40B4-BE49-F238E27FC236}">
              <a16:creationId xmlns:a16="http://schemas.microsoft.com/office/drawing/2014/main" id="{21A49BD8-0B43-FA40-827E-CCB6681851F5}"/>
            </a:ext>
          </a:extLst>
        </xdr:cNvPr>
        <xdr:cNvSpPr/>
      </xdr:nvSpPr>
      <xdr:spPr>
        <a:xfrm>
          <a:off x="13533382972" y="29599632"/>
          <a:ext cx="145611"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5</a:t>
          </a:r>
          <a:endParaRPr lang="en-US" sz="1100"/>
        </a:p>
      </xdr:txBody>
    </xdr:sp>
    <xdr:clientData/>
  </xdr:twoCellAnchor>
  <xdr:twoCellAnchor>
    <xdr:from>
      <xdr:col>4</xdr:col>
      <xdr:colOff>742908</xdr:colOff>
      <xdr:row>146</xdr:row>
      <xdr:rowOff>45655</xdr:rowOff>
    </xdr:from>
    <xdr:to>
      <xdr:col>5</xdr:col>
      <xdr:colOff>62254</xdr:colOff>
      <xdr:row>146</xdr:row>
      <xdr:rowOff>182615</xdr:rowOff>
    </xdr:to>
    <xdr:sp macro="" textlink="">
      <xdr:nvSpPr>
        <xdr:cNvPr id="116" name="Rectangle 115">
          <a:extLst>
            <a:ext uri="{FF2B5EF4-FFF2-40B4-BE49-F238E27FC236}">
              <a16:creationId xmlns:a16="http://schemas.microsoft.com/office/drawing/2014/main" id="{0239B06C-9BCF-0542-BDF2-B32AE2D58D23}"/>
            </a:ext>
          </a:extLst>
        </xdr:cNvPr>
        <xdr:cNvSpPr/>
      </xdr:nvSpPr>
      <xdr:spPr>
        <a:xfrm>
          <a:off x="13533333168" y="28961107"/>
          <a:ext cx="145611" cy="136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6</a:t>
          </a:r>
          <a:endParaRPr lang="en-US" sz="1100"/>
        </a:p>
      </xdr:txBody>
    </xdr:sp>
    <xdr:clientData/>
  </xdr:twoCellAnchor>
  <xdr:twoCellAnchor>
    <xdr:from>
      <xdr:col>2</xdr:col>
      <xdr:colOff>10291</xdr:colOff>
      <xdr:row>143</xdr:row>
      <xdr:rowOff>536027</xdr:rowOff>
    </xdr:from>
    <xdr:to>
      <xdr:col>3</xdr:col>
      <xdr:colOff>791341</xdr:colOff>
      <xdr:row>143</xdr:row>
      <xdr:rowOff>542377</xdr:rowOff>
    </xdr:to>
    <xdr:cxnSp macro="">
      <xdr:nvCxnSpPr>
        <xdr:cNvPr id="117" name="Straight Arrow Connector 116">
          <a:extLst>
            <a:ext uri="{FF2B5EF4-FFF2-40B4-BE49-F238E27FC236}">
              <a16:creationId xmlns:a16="http://schemas.microsoft.com/office/drawing/2014/main" id="{42A63B08-DACB-1673-6CEF-B34FF02E3133}"/>
            </a:ext>
          </a:extLst>
        </xdr:cNvPr>
        <xdr:cNvCxnSpPr/>
      </xdr:nvCxnSpPr>
      <xdr:spPr>
        <a:xfrm flipH="1">
          <a:off x="13557592900" y="29509544"/>
          <a:ext cx="1608740"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17558</xdr:colOff>
      <xdr:row>1</xdr:row>
      <xdr:rowOff>46820</xdr:rowOff>
    </xdr:from>
    <xdr:to>
      <xdr:col>4</xdr:col>
      <xdr:colOff>361629</xdr:colOff>
      <xdr:row>24</xdr:row>
      <xdr:rowOff>88315</xdr:rowOff>
    </xdr:to>
    <xdr:pic>
      <xdr:nvPicPr>
        <xdr:cNvPr id="2" name="Picture 1">
          <a:extLst>
            <a:ext uri="{FF2B5EF4-FFF2-40B4-BE49-F238E27FC236}">
              <a16:creationId xmlns:a16="http://schemas.microsoft.com/office/drawing/2014/main" id="{DC6040D6-665F-32A6-0049-7EBB2F346D10}"/>
            </a:ext>
          </a:extLst>
        </xdr:cNvPr>
        <xdr:cNvPicPr>
          <a:picLocks noChangeAspect="1"/>
        </xdr:cNvPicPr>
      </xdr:nvPicPr>
      <xdr:blipFill>
        <a:blip xmlns:r="http://schemas.openxmlformats.org/officeDocument/2006/relationships" r:embed="rId1"/>
        <a:stretch>
          <a:fillRect/>
        </a:stretch>
      </xdr:blipFill>
      <xdr:spPr>
        <a:xfrm>
          <a:off x="13516535146" y="251659"/>
          <a:ext cx="3644900" cy="4787900"/>
        </a:xfrm>
        <a:prstGeom prst="rect">
          <a:avLst/>
        </a:prstGeom>
      </xdr:spPr>
    </xdr:pic>
    <xdr:clientData/>
  </xdr:twoCellAnchor>
  <xdr:twoCellAnchor>
    <xdr:from>
      <xdr:col>8</xdr:col>
      <xdr:colOff>20815</xdr:colOff>
      <xdr:row>6</xdr:row>
      <xdr:rowOff>196252</xdr:rowOff>
    </xdr:from>
    <xdr:to>
      <xdr:col>9</xdr:col>
      <xdr:colOff>738394</xdr:colOff>
      <xdr:row>6</xdr:row>
      <xdr:rowOff>201947</xdr:rowOff>
    </xdr:to>
    <xdr:cxnSp macro="">
      <xdr:nvCxnSpPr>
        <xdr:cNvPr id="3" name="Straight Arrow Connector 2">
          <a:extLst>
            <a:ext uri="{FF2B5EF4-FFF2-40B4-BE49-F238E27FC236}">
              <a16:creationId xmlns:a16="http://schemas.microsoft.com/office/drawing/2014/main" id="{068237D5-AF2B-774F-AAD3-B8E7D53FDE68}"/>
            </a:ext>
          </a:extLst>
        </xdr:cNvPr>
        <xdr:cNvCxnSpPr/>
      </xdr:nvCxnSpPr>
      <xdr:spPr>
        <a:xfrm flipH="1">
          <a:off x="13521777106" y="11397652"/>
          <a:ext cx="1543079" cy="569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41</xdr:row>
      <xdr:rowOff>198987</xdr:rowOff>
    </xdr:from>
    <xdr:to>
      <xdr:col>4</xdr:col>
      <xdr:colOff>636171</xdr:colOff>
      <xdr:row>65</xdr:row>
      <xdr:rowOff>10242</xdr:rowOff>
    </xdr:to>
    <xdr:pic>
      <xdr:nvPicPr>
        <xdr:cNvPr id="5" name="Picture 4">
          <a:extLst>
            <a:ext uri="{FF2B5EF4-FFF2-40B4-BE49-F238E27FC236}">
              <a16:creationId xmlns:a16="http://schemas.microsoft.com/office/drawing/2014/main" id="{1B7B200C-61B2-EB9F-C72A-35EAA4C6C628}"/>
            </a:ext>
          </a:extLst>
        </xdr:cNvPr>
        <xdr:cNvPicPr>
          <a:picLocks noChangeAspect="1"/>
        </xdr:cNvPicPr>
      </xdr:nvPicPr>
      <xdr:blipFill>
        <a:blip xmlns:r="http://schemas.openxmlformats.org/officeDocument/2006/relationships" r:embed="rId2"/>
        <a:stretch>
          <a:fillRect/>
        </a:stretch>
      </xdr:blipFill>
      <xdr:spPr>
        <a:xfrm>
          <a:off x="13516260604" y="8632489"/>
          <a:ext cx="3937000" cy="4762500"/>
        </a:xfrm>
        <a:prstGeom prst="rect">
          <a:avLst/>
        </a:prstGeom>
      </xdr:spPr>
    </xdr:pic>
    <xdr:clientData/>
  </xdr:twoCellAnchor>
  <xdr:twoCellAnchor>
    <xdr:from>
      <xdr:col>8</xdr:col>
      <xdr:colOff>20815</xdr:colOff>
      <xdr:row>50</xdr:row>
      <xdr:rowOff>196252</xdr:rowOff>
    </xdr:from>
    <xdr:to>
      <xdr:col>9</xdr:col>
      <xdr:colOff>738394</xdr:colOff>
      <xdr:row>50</xdr:row>
      <xdr:rowOff>201947</xdr:rowOff>
    </xdr:to>
    <xdr:cxnSp macro="">
      <xdr:nvCxnSpPr>
        <xdr:cNvPr id="6" name="Straight Arrow Connector 5">
          <a:extLst>
            <a:ext uri="{FF2B5EF4-FFF2-40B4-BE49-F238E27FC236}">
              <a16:creationId xmlns:a16="http://schemas.microsoft.com/office/drawing/2014/main" id="{7B0F8DC7-4B66-F547-8FF2-774B65554832}"/>
            </a:ext>
          </a:extLst>
        </xdr:cNvPr>
        <xdr:cNvCxnSpPr/>
      </xdr:nvCxnSpPr>
      <xdr:spPr>
        <a:xfrm flipH="1">
          <a:off x="13512032344" y="1448694"/>
          <a:ext cx="1542786" cy="569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520700</xdr:colOff>
      <xdr:row>101</xdr:row>
      <xdr:rowOff>184150</xdr:rowOff>
    </xdr:from>
    <xdr:to>
      <xdr:col>7</xdr:col>
      <xdr:colOff>44450</xdr:colOff>
      <xdr:row>104</xdr:row>
      <xdr:rowOff>88900</xdr:rowOff>
    </xdr:to>
    <xdr:cxnSp macro="">
      <xdr:nvCxnSpPr>
        <xdr:cNvPr id="3" name="Straight Arrow Connector 2">
          <a:extLst>
            <a:ext uri="{FF2B5EF4-FFF2-40B4-BE49-F238E27FC236}">
              <a16:creationId xmlns:a16="http://schemas.microsoft.com/office/drawing/2014/main" id="{BF412974-50F0-1447-9302-E337F783EB12}"/>
            </a:ext>
          </a:extLst>
        </xdr:cNvPr>
        <xdr:cNvCxnSpPr/>
      </xdr:nvCxnSpPr>
      <xdr:spPr>
        <a:xfrm>
          <a:off x="13519169050" y="20707350"/>
          <a:ext cx="349250" cy="514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563108</xdr:colOff>
      <xdr:row>101</xdr:row>
      <xdr:rowOff>137969</xdr:rowOff>
    </xdr:from>
    <xdr:to>
      <xdr:col>6</xdr:col>
      <xdr:colOff>711406</xdr:colOff>
      <xdr:row>103</xdr:row>
      <xdr:rowOff>176069</xdr:rowOff>
    </xdr:to>
    <xdr:sp macro="" textlink="">
      <xdr:nvSpPr>
        <xdr:cNvPr id="4" name="TextBox 3">
          <a:extLst>
            <a:ext uri="{FF2B5EF4-FFF2-40B4-BE49-F238E27FC236}">
              <a16:creationId xmlns:a16="http://schemas.microsoft.com/office/drawing/2014/main" id="{0B6BB413-EC39-5643-8D53-9E0F91D04EF9}"/>
            </a:ext>
          </a:extLst>
        </xdr:cNvPr>
        <xdr:cNvSpPr txBox="1"/>
      </xdr:nvSpPr>
      <xdr:spPr>
        <a:xfrm rot="3102829">
          <a:off x="13519179493" y="20809270"/>
          <a:ext cx="444500" cy="1482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r>
            <a:rPr lang="he-IL" sz="700"/>
            <a:t>איפוס</a:t>
          </a:r>
          <a:endParaRPr lang="en-US" sz="700"/>
        </a:p>
      </xdr:txBody>
    </xdr:sp>
    <xdr:clientData/>
  </xdr:twoCellAnchor>
  <xdr:twoCellAnchor>
    <xdr:from>
      <xdr:col>6</xdr:col>
      <xdr:colOff>565150</xdr:colOff>
      <xdr:row>104</xdr:row>
      <xdr:rowOff>171450</xdr:rowOff>
    </xdr:from>
    <xdr:to>
      <xdr:col>7</xdr:col>
      <xdr:colOff>25400</xdr:colOff>
      <xdr:row>105</xdr:row>
      <xdr:rowOff>133350</xdr:rowOff>
    </xdr:to>
    <xdr:cxnSp macro="">
      <xdr:nvCxnSpPr>
        <xdr:cNvPr id="5" name="Straight Arrow Connector 4">
          <a:extLst>
            <a:ext uri="{FF2B5EF4-FFF2-40B4-BE49-F238E27FC236}">
              <a16:creationId xmlns:a16="http://schemas.microsoft.com/office/drawing/2014/main" id="{B8BB70A5-FBE6-944C-AD4A-3295B41E9D19}"/>
            </a:ext>
          </a:extLst>
        </xdr:cNvPr>
        <xdr:cNvCxnSpPr/>
      </xdr:nvCxnSpPr>
      <xdr:spPr>
        <a:xfrm flipH="1" flipV="1">
          <a:off x="13519188100" y="21304250"/>
          <a:ext cx="285750" cy="165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508659</xdr:colOff>
      <xdr:row>105</xdr:row>
      <xdr:rowOff>97663</xdr:rowOff>
    </xdr:from>
    <xdr:to>
      <xdr:col>7</xdr:col>
      <xdr:colOff>62220</xdr:colOff>
      <xdr:row>106</xdr:row>
      <xdr:rowOff>74305</xdr:rowOff>
    </xdr:to>
    <xdr:sp macro="" textlink="">
      <xdr:nvSpPr>
        <xdr:cNvPr id="8" name="TextBox 7">
          <a:extLst>
            <a:ext uri="{FF2B5EF4-FFF2-40B4-BE49-F238E27FC236}">
              <a16:creationId xmlns:a16="http://schemas.microsoft.com/office/drawing/2014/main" id="{D639EE83-F5E1-F840-971F-89269A9599FD}"/>
            </a:ext>
          </a:extLst>
        </xdr:cNvPr>
        <xdr:cNvSpPr txBox="1"/>
      </xdr:nvSpPr>
      <xdr:spPr>
        <a:xfrm rot="1827861">
          <a:off x="13519151280" y="21433663"/>
          <a:ext cx="379061" cy="1798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r>
            <a:rPr lang="he-IL" sz="700"/>
            <a:t>יצירה</a:t>
          </a:r>
          <a:endParaRPr lang="en-US" sz="700"/>
        </a:p>
      </xdr:txBody>
    </xdr:sp>
    <xdr:clientData/>
  </xdr:twoCellAnchor>
  <xdr:twoCellAnchor>
    <xdr:from>
      <xdr:col>2</xdr:col>
      <xdr:colOff>12700</xdr:colOff>
      <xdr:row>132</xdr:row>
      <xdr:rowOff>152400</xdr:rowOff>
    </xdr:from>
    <xdr:to>
      <xdr:col>3</xdr:col>
      <xdr:colOff>793750</xdr:colOff>
      <xdr:row>132</xdr:row>
      <xdr:rowOff>158750</xdr:rowOff>
    </xdr:to>
    <xdr:cxnSp macro="">
      <xdr:nvCxnSpPr>
        <xdr:cNvPr id="9" name="Straight Arrow Connector 8">
          <a:extLst>
            <a:ext uri="{FF2B5EF4-FFF2-40B4-BE49-F238E27FC236}">
              <a16:creationId xmlns:a16="http://schemas.microsoft.com/office/drawing/2014/main" id="{1646E7F6-133B-2543-9C16-1C58A4E2B59A}"/>
            </a:ext>
          </a:extLst>
        </xdr:cNvPr>
        <xdr:cNvCxnSpPr/>
      </xdr:nvCxnSpPr>
      <xdr:spPr>
        <a:xfrm flipH="1" flipV="1">
          <a:off x="13521721750" y="25971500"/>
          <a:ext cx="1606550"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137</xdr:row>
      <xdr:rowOff>158750</xdr:rowOff>
    </xdr:from>
    <xdr:to>
      <xdr:col>3</xdr:col>
      <xdr:colOff>812800</xdr:colOff>
      <xdr:row>137</xdr:row>
      <xdr:rowOff>177800</xdr:rowOff>
    </xdr:to>
    <xdr:cxnSp macro="">
      <xdr:nvCxnSpPr>
        <xdr:cNvPr id="10" name="Straight Arrow Connector 9">
          <a:extLst>
            <a:ext uri="{FF2B5EF4-FFF2-40B4-BE49-F238E27FC236}">
              <a16:creationId xmlns:a16="http://schemas.microsoft.com/office/drawing/2014/main" id="{6098E9DD-1C20-6C4B-806D-29246A8177AF}"/>
            </a:ext>
          </a:extLst>
        </xdr:cNvPr>
        <xdr:cNvCxnSpPr/>
      </xdr:nvCxnSpPr>
      <xdr:spPr>
        <a:xfrm flipH="1">
          <a:off x="13521702700" y="28111450"/>
          <a:ext cx="1619250" cy="19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12700</xdr:colOff>
      <xdr:row>168</xdr:row>
      <xdr:rowOff>152400</xdr:rowOff>
    </xdr:from>
    <xdr:to>
      <xdr:col>3</xdr:col>
      <xdr:colOff>793750</xdr:colOff>
      <xdr:row>168</xdr:row>
      <xdr:rowOff>158750</xdr:rowOff>
    </xdr:to>
    <xdr:cxnSp macro="">
      <xdr:nvCxnSpPr>
        <xdr:cNvPr id="12" name="Straight Arrow Connector 11">
          <a:extLst>
            <a:ext uri="{FF2B5EF4-FFF2-40B4-BE49-F238E27FC236}">
              <a16:creationId xmlns:a16="http://schemas.microsoft.com/office/drawing/2014/main" id="{5EF04264-F1A6-DF4F-9DF4-8E486E7615F0}"/>
            </a:ext>
          </a:extLst>
        </xdr:cNvPr>
        <xdr:cNvCxnSpPr/>
      </xdr:nvCxnSpPr>
      <xdr:spPr>
        <a:xfrm flipH="1" flipV="1">
          <a:off x="13521721750" y="27038300"/>
          <a:ext cx="1606550"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173</xdr:row>
      <xdr:rowOff>158750</xdr:rowOff>
    </xdr:from>
    <xdr:to>
      <xdr:col>3</xdr:col>
      <xdr:colOff>812800</xdr:colOff>
      <xdr:row>173</xdr:row>
      <xdr:rowOff>177800</xdr:rowOff>
    </xdr:to>
    <xdr:cxnSp macro="">
      <xdr:nvCxnSpPr>
        <xdr:cNvPr id="13" name="Straight Arrow Connector 12">
          <a:extLst>
            <a:ext uri="{FF2B5EF4-FFF2-40B4-BE49-F238E27FC236}">
              <a16:creationId xmlns:a16="http://schemas.microsoft.com/office/drawing/2014/main" id="{8A190C16-1C4C-E44F-BCEB-BB66C3441F17}"/>
            </a:ext>
          </a:extLst>
        </xdr:cNvPr>
        <xdr:cNvCxnSpPr/>
      </xdr:nvCxnSpPr>
      <xdr:spPr>
        <a:xfrm flipH="1">
          <a:off x="13521702700" y="28111450"/>
          <a:ext cx="1619250" cy="19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12700</xdr:colOff>
      <xdr:row>199</xdr:row>
      <xdr:rowOff>152400</xdr:rowOff>
    </xdr:from>
    <xdr:to>
      <xdr:col>3</xdr:col>
      <xdr:colOff>793750</xdr:colOff>
      <xdr:row>199</xdr:row>
      <xdr:rowOff>158750</xdr:rowOff>
    </xdr:to>
    <xdr:cxnSp macro="">
      <xdr:nvCxnSpPr>
        <xdr:cNvPr id="14" name="Straight Arrow Connector 13">
          <a:extLst>
            <a:ext uri="{FF2B5EF4-FFF2-40B4-BE49-F238E27FC236}">
              <a16:creationId xmlns:a16="http://schemas.microsoft.com/office/drawing/2014/main" id="{1FF802F8-072E-1A41-AFB9-F5BDA9F1AF56}"/>
            </a:ext>
          </a:extLst>
        </xdr:cNvPr>
        <xdr:cNvCxnSpPr/>
      </xdr:nvCxnSpPr>
      <xdr:spPr>
        <a:xfrm flipH="1" flipV="1">
          <a:off x="13521721750" y="34455100"/>
          <a:ext cx="1606550"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204</xdr:row>
      <xdr:rowOff>158750</xdr:rowOff>
    </xdr:from>
    <xdr:to>
      <xdr:col>3</xdr:col>
      <xdr:colOff>812800</xdr:colOff>
      <xdr:row>204</xdr:row>
      <xdr:rowOff>177800</xdr:rowOff>
    </xdr:to>
    <xdr:cxnSp macro="">
      <xdr:nvCxnSpPr>
        <xdr:cNvPr id="15" name="Straight Arrow Connector 14">
          <a:extLst>
            <a:ext uri="{FF2B5EF4-FFF2-40B4-BE49-F238E27FC236}">
              <a16:creationId xmlns:a16="http://schemas.microsoft.com/office/drawing/2014/main" id="{1E430D0F-12F7-F844-BB48-44AA3175A1D7}"/>
            </a:ext>
          </a:extLst>
        </xdr:cNvPr>
        <xdr:cNvCxnSpPr/>
      </xdr:nvCxnSpPr>
      <xdr:spPr>
        <a:xfrm flipH="1">
          <a:off x="13521702700" y="35528250"/>
          <a:ext cx="1619250" cy="19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12700</xdr:colOff>
      <xdr:row>231</xdr:row>
      <xdr:rowOff>152400</xdr:rowOff>
    </xdr:from>
    <xdr:to>
      <xdr:col>3</xdr:col>
      <xdr:colOff>793750</xdr:colOff>
      <xdr:row>231</xdr:row>
      <xdr:rowOff>158750</xdr:rowOff>
    </xdr:to>
    <xdr:cxnSp macro="">
      <xdr:nvCxnSpPr>
        <xdr:cNvPr id="16" name="Straight Arrow Connector 15">
          <a:extLst>
            <a:ext uri="{FF2B5EF4-FFF2-40B4-BE49-F238E27FC236}">
              <a16:creationId xmlns:a16="http://schemas.microsoft.com/office/drawing/2014/main" id="{EA3A189E-1B68-2D47-9050-5A345E51FEA7}"/>
            </a:ext>
          </a:extLst>
        </xdr:cNvPr>
        <xdr:cNvCxnSpPr/>
      </xdr:nvCxnSpPr>
      <xdr:spPr>
        <a:xfrm flipH="1" flipV="1">
          <a:off x="13521721750" y="40855900"/>
          <a:ext cx="1606550"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236</xdr:row>
      <xdr:rowOff>158750</xdr:rowOff>
    </xdr:from>
    <xdr:to>
      <xdr:col>3</xdr:col>
      <xdr:colOff>812800</xdr:colOff>
      <xdr:row>236</xdr:row>
      <xdr:rowOff>177800</xdr:rowOff>
    </xdr:to>
    <xdr:cxnSp macro="">
      <xdr:nvCxnSpPr>
        <xdr:cNvPr id="17" name="Straight Arrow Connector 16">
          <a:extLst>
            <a:ext uri="{FF2B5EF4-FFF2-40B4-BE49-F238E27FC236}">
              <a16:creationId xmlns:a16="http://schemas.microsoft.com/office/drawing/2014/main" id="{BF72FE29-A9AD-5041-ABDB-FBF71312D9B2}"/>
            </a:ext>
          </a:extLst>
        </xdr:cNvPr>
        <xdr:cNvCxnSpPr/>
      </xdr:nvCxnSpPr>
      <xdr:spPr>
        <a:xfrm flipH="1">
          <a:off x="13521702700" y="41929050"/>
          <a:ext cx="1619250" cy="19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oneCellAnchor>
    <xdr:from>
      <xdr:col>2</xdr:col>
      <xdr:colOff>711200</xdr:colOff>
      <xdr:row>823</xdr:row>
      <xdr:rowOff>44450</xdr:rowOff>
    </xdr:from>
    <xdr:ext cx="2203568" cy="321306"/>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68C46435-6E54-184F-B052-A56CFBB70D45}"/>
                </a:ext>
              </a:extLst>
            </xdr:cNvPr>
            <xdr:cNvSpPr txBox="1"/>
          </xdr:nvSpPr>
          <xdr:spPr>
            <a:xfrm>
              <a:off x="13520426232" y="27501850"/>
              <a:ext cx="2203568" cy="3213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𝑆𝑢𝑚</m:t>
                    </m:r>
                    <m:d>
                      <m:dPr>
                        <m:ctrlPr>
                          <a:rPr lang="en-US" sz="1100" b="0" i="1">
                            <a:latin typeface="Cambria Math" panose="02040503050406030204" pitchFamily="18" charset="0"/>
                          </a:rPr>
                        </m:ctrlPr>
                      </m:dPr>
                      <m:e>
                        <m:r>
                          <a:rPr lang="en-US" sz="1100" b="0" i="1">
                            <a:latin typeface="Cambria Math" panose="02040503050406030204" pitchFamily="18" charset="0"/>
                          </a:rPr>
                          <m:t>𝐷𝑖𝑔𝑖𝑡𝑠</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𝑛</m:t>
                        </m:r>
                        <m:r>
                          <a:rPr lang="en-US" sz="1100" b="0" i="1">
                            <a:latin typeface="Cambria Math" panose="02040503050406030204" pitchFamily="18" charset="0"/>
                          </a:rPr>
                          <m:t>∗(</m:t>
                        </m:r>
                        <m:r>
                          <a:rPr lang="en-US" sz="1100" b="0" i="1">
                            <a:latin typeface="Cambria Math" panose="02040503050406030204" pitchFamily="18" charset="0"/>
                          </a:rPr>
                          <m:t>𝑛</m:t>
                        </m:r>
                        <m:r>
                          <a:rPr lang="en-US" sz="1100" b="0" i="1">
                            <a:latin typeface="Cambria Math" panose="02040503050406030204" pitchFamily="18" charset="0"/>
                          </a:rPr>
                          <m:t>+1)</m:t>
                        </m:r>
                      </m:num>
                      <m:den>
                        <m:r>
                          <a:rPr lang="en-US" sz="1100" b="0" i="1">
                            <a:latin typeface="Cambria Math" panose="02040503050406030204" pitchFamily="18" charset="0"/>
                          </a:rPr>
                          <m:t>2</m:t>
                        </m:r>
                      </m:den>
                    </m:f>
                  </m:oMath>
                </m:oMathPara>
              </a14:m>
              <a:endParaRPr lang="en-US" sz="1100"/>
            </a:p>
          </xdr:txBody>
        </xdr:sp>
      </mc:Choice>
      <mc:Fallback xmlns="">
        <xdr:sp macro="" textlink="">
          <xdr:nvSpPr>
            <xdr:cNvPr id="9" name="TextBox 8">
              <a:extLst>
                <a:ext uri="{FF2B5EF4-FFF2-40B4-BE49-F238E27FC236}">
                  <a16:creationId xmlns:a16="http://schemas.microsoft.com/office/drawing/2014/main" id="{68C46435-6E54-184F-B052-A56CFBB70D45}"/>
                </a:ext>
              </a:extLst>
            </xdr:cNvPr>
            <xdr:cNvSpPr txBox="1"/>
          </xdr:nvSpPr>
          <xdr:spPr>
            <a:xfrm>
              <a:off x="13520426232" y="27501850"/>
              <a:ext cx="2203568" cy="3213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𝑆𝑢𝑚(𝐷𝑖𝑔𝑖𝑡𝑠)=(𝑛∗(𝑛+1))/2</a:t>
              </a:r>
              <a:endParaRPr lang="en-US" sz="1100"/>
            </a:p>
          </xdr:txBody>
        </xdr:sp>
      </mc:Fallback>
    </mc:AlternateContent>
    <xdr:clientData/>
  </xdr:oneCellAnchor>
  <xdr:oneCellAnchor>
    <xdr:from>
      <xdr:col>2</xdr:col>
      <xdr:colOff>501650</xdr:colOff>
      <xdr:row>830</xdr:row>
      <xdr:rowOff>12700</xdr:rowOff>
    </xdr:from>
    <xdr:ext cx="2502018" cy="346954"/>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2158F3BA-E50E-7845-81EC-2AC0AD776E92}"/>
                </a:ext>
              </a:extLst>
            </xdr:cNvPr>
            <xdr:cNvSpPr txBox="1"/>
          </xdr:nvSpPr>
          <xdr:spPr>
            <a:xfrm>
              <a:off x="13520337332" y="28892500"/>
              <a:ext cx="2502018" cy="3469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r>
                      <a:rPr lang="en-US" sz="1100" b="0" i="1">
                        <a:latin typeface="Cambria Math" panose="02040503050406030204" pitchFamily="18" charset="0"/>
                      </a:rPr>
                      <m:t>=</m:t>
                    </m:r>
                    <m:d>
                      <m:dPr>
                        <m:ctrlPr>
                          <a:rPr lang="en-US" sz="1100" b="0" i="1">
                            <a:latin typeface="Cambria Math" panose="02040503050406030204" pitchFamily="18" charset="0"/>
                          </a:rPr>
                        </m:ctrlPr>
                      </m:dPr>
                      <m:e>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0</m:t>
                            </m:r>
                          </m:sub>
                        </m:sSub>
                        <m:r>
                          <a:rPr lang="en-US" sz="1100" b="0" i="1">
                            <a:latin typeface="Cambria Math" panose="02040503050406030204" pitchFamily="18" charset="0"/>
                          </a:rPr>
                          <m:t>−</m:t>
                        </m:r>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𝐺</m:t>
                            </m:r>
                          </m:sub>
                        </m:sSub>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𝐷𝑖𝑔𝑖𝑡</m:t>
                        </m:r>
                      </m:num>
                      <m:den>
                        <m:r>
                          <a:rPr lang="en-US" sz="1100" b="0" i="1">
                            <a:latin typeface="Cambria Math" panose="02040503050406030204" pitchFamily="18" charset="0"/>
                          </a:rPr>
                          <m:t>𝑆𝑢𝑚</m:t>
                        </m:r>
                        <m:r>
                          <a:rPr lang="en-US" sz="1100" b="0" i="1">
                            <a:latin typeface="Cambria Math" panose="02040503050406030204" pitchFamily="18" charset="0"/>
                          </a:rPr>
                          <m:t>(</m:t>
                        </m:r>
                        <m:r>
                          <a:rPr lang="en-US" sz="1100" b="0" i="1">
                            <a:latin typeface="Cambria Math" panose="02040503050406030204" pitchFamily="18" charset="0"/>
                          </a:rPr>
                          <m:t>𝐷𝑖𝑔𝑖𝑡𝑠</m:t>
                        </m:r>
                        <m:r>
                          <a:rPr lang="en-US" sz="1100" b="0" i="1">
                            <a:latin typeface="Cambria Math" panose="02040503050406030204" pitchFamily="18" charset="0"/>
                          </a:rPr>
                          <m:t>)</m:t>
                        </m:r>
                      </m:den>
                    </m:f>
                  </m:oMath>
                </m:oMathPara>
              </a14:m>
              <a:endParaRPr lang="en-US" sz="1100"/>
            </a:p>
          </xdr:txBody>
        </xdr:sp>
      </mc:Choice>
      <mc:Fallback xmlns="">
        <xdr:sp macro="" textlink="">
          <xdr:nvSpPr>
            <xdr:cNvPr id="10" name="TextBox 9">
              <a:extLst>
                <a:ext uri="{FF2B5EF4-FFF2-40B4-BE49-F238E27FC236}">
                  <a16:creationId xmlns:a16="http://schemas.microsoft.com/office/drawing/2014/main" id="{2158F3BA-E50E-7845-81EC-2AC0AD776E92}"/>
                </a:ext>
              </a:extLst>
            </xdr:cNvPr>
            <xdr:cNvSpPr txBox="1"/>
          </xdr:nvSpPr>
          <xdr:spPr>
            <a:xfrm>
              <a:off x="13520337332" y="28892500"/>
              <a:ext cx="2502018" cy="3469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𝐷=(𝐼_0−𝐼_𝐺 )∗𝐷𝑖𝑔𝑖𝑡/(𝑆𝑢𝑚(𝐷𝑖𝑔𝑖𝑡𝑠))</a:t>
              </a:r>
              <a:endParaRPr lang="en-US" sz="1100"/>
            </a:p>
          </xdr:txBody>
        </xdr:sp>
      </mc:Fallback>
    </mc:AlternateContent>
    <xdr:clientData/>
  </xdr:oneCellAnchor>
  <xdr:oneCellAnchor>
    <xdr:from>
      <xdr:col>2</xdr:col>
      <xdr:colOff>711200</xdr:colOff>
      <xdr:row>858</xdr:row>
      <xdr:rowOff>44450</xdr:rowOff>
    </xdr:from>
    <xdr:ext cx="2203568" cy="321306"/>
    <mc:AlternateContent xmlns:mc="http://schemas.openxmlformats.org/markup-compatibility/2006" xmlns:a14="http://schemas.microsoft.com/office/drawing/2010/main">
      <mc:Choice Requires="a14">
        <xdr:sp macro="" textlink="">
          <xdr:nvSpPr>
            <xdr:cNvPr id="11" name="TextBox 10">
              <a:extLst>
                <a:ext uri="{FF2B5EF4-FFF2-40B4-BE49-F238E27FC236}">
                  <a16:creationId xmlns:a16="http://schemas.microsoft.com/office/drawing/2014/main" id="{6D12A31C-5308-284F-9B69-134818A57006}"/>
                </a:ext>
              </a:extLst>
            </xdr:cNvPr>
            <xdr:cNvSpPr txBox="1"/>
          </xdr:nvSpPr>
          <xdr:spPr>
            <a:xfrm>
              <a:off x="13520426232" y="27501850"/>
              <a:ext cx="2203568" cy="3213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𝑆𝑢𝑚</m:t>
                    </m:r>
                    <m:d>
                      <m:dPr>
                        <m:ctrlPr>
                          <a:rPr lang="en-US" sz="1100" b="0" i="1">
                            <a:latin typeface="Cambria Math" panose="02040503050406030204" pitchFamily="18" charset="0"/>
                          </a:rPr>
                        </m:ctrlPr>
                      </m:dPr>
                      <m:e>
                        <m:r>
                          <a:rPr lang="en-US" sz="1100" b="0" i="1">
                            <a:latin typeface="Cambria Math" panose="02040503050406030204" pitchFamily="18" charset="0"/>
                          </a:rPr>
                          <m:t>𝐷𝑖𝑔𝑖𝑡𝑠</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𝑛</m:t>
                        </m:r>
                        <m:r>
                          <a:rPr lang="en-US" sz="1100" b="0" i="1">
                            <a:latin typeface="Cambria Math" panose="02040503050406030204" pitchFamily="18" charset="0"/>
                          </a:rPr>
                          <m:t>∗(</m:t>
                        </m:r>
                        <m:r>
                          <a:rPr lang="en-US" sz="1100" b="0" i="1">
                            <a:latin typeface="Cambria Math" panose="02040503050406030204" pitchFamily="18" charset="0"/>
                          </a:rPr>
                          <m:t>𝑛</m:t>
                        </m:r>
                        <m:r>
                          <a:rPr lang="en-US" sz="1100" b="0" i="1">
                            <a:latin typeface="Cambria Math" panose="02040503050406030204" pitchFamily="18" charset="0"/>
                          </a:rPr>
                          <m:t>+1)</m:t>
                        </m:r>
                      </m:num>
                      <m:den>
                        <m:r>
                          <a:rPr lang="en-US" sz="1100" b="0" i="1">
                            <a:latin typeface="Cambria Math" panose="02040503050406030204" pitchFamily="18" charset="0"/>
                          </a:rPr>
                          <m:t>2</m:t>
                        </m:r>
                      </m:den>
                    </m:f>
                  </m:oMath>
                </m:oMathPara>
              </a14:m>
              <a:endParaRPr lang="en-US" sz="1100"/>
            </a:p>
          </xdr:txBody>
        </xdr:sp>
      </mc:Choice>
      <mc:Fallback xmlns="">
        <xdr:sp macro="" textlink="">
          <xdr:nvSpPr>
            <xdr:cNvPr id="11" name="TextBox 10">
              <a:extLst>
                <a:ext uri="{FF2B5EF4-FFF2-40B4-BE49-F238E27FC236}">
                  <a16:creationId xmlns:a16="http://schemas.microsoft.com/office/drawing/2014/main" id="{6D12A31C-5308-284F-9B69-134818A57006}"/>
                </a:ext>
              </a:extLst>
            </xdr:cNvPr>
            <xdr:cNvSpPr txBox="1"/>
          </xdr:nvSpPr>
          <xdr:spPr>
            <a:xfrm>
              <a:off x="13520426232" y="27501850"/>
              <a:ext cx="2203568" cy="3213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𝑆𝑢𝑚(𝐷𝑖𝑔𝑖𝑡𝑠)=(𝑛∗(𝑛+1))/2</a:t>
              </a:r>
              <a:endParaRPr lang="en-US" sz="1100"/>
            </a:p>
          </xdr:txBody>
        </xdr:sp>
      </mc:Fallback>
    </mc:AlternateContent>
    <xdr:clientData/>
  </xdr:oneCellAnchor>
  <xdr:oneCellAnchor>
    <xdr:from>
      <xdr:col>2</xdr:col>
      <xdr:colOff>609600</xdr:colOff>
      <xdr:row>863</xdr:row>
      <xdr:rowOff>152400</xdr:rowOff>
    </xdr:from>
    <xdr:ext cx="2203568" cy="321306"/>
    <mc:AlternateContent xmlns:mc="http://schemas.openxmlformats.org/markup-compatibility/2006" xmlns:a14="http://schemas.microsoft.com/office/drawing/2010/main">
      <mc:Choice Requires="a14">
        <xdr:sp macro="" textlink="">
          <xdr:nvSpPr>
            <xdr:cNvPr id="12" name="TextBox 11">
              <a:extLst>
                <a:ext uri="{FF2B5EF4-FFF2-40B4-BE49-F238E27FC236}">
                  <a16:creationId xmlns:a16="http://schemas.microsoft.com/office/drawing/2014/main" id="{71249D25-6896-DE4E-812E-783592A9F7C2}"/>
                </a:ext>
              </a:extLst>
            </xdr:cNvPr>
            <xdr:cNvSpPr txBox="1"/>
          </xdr:nvSpPr>
          <xdr:spPr>
            <a:xfrm>
              <a:off x="13520527832" y="35788600"/>
              <a:ext cx="2203568" cy="3213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𝑆𝑢𝑚</m:t>
                    </m:r>
                    <m:d>
                      <m:dPr>
                        <m:ctrlPr>
                          <a:rPr lang="en-US" sz="1100" b="0" i="1">
                            <a:latin typeface="Cambria Math" panose="02040503050406030204" pitchFamily="18" charset="0"/>
                          </a:rPr>
                        </m:ctrlPr>
                      </m:dPr>
                      <m:e>
                        <m:r>
                          <a:rPr lang="en-US" sz="1100" b="0" i="1">
                            <a:latin typeface="Cambria Math" panose="02040503050406030204" pitchFamily="18" charset="0"/>
                          </a:rPr>
                          <m:t>𝐷𝑖𝑔𝑖𝑡𝑠</m:t>
                        </m:r>
                      </m:e>
                    </m:d>
                    <m:r>
                      <a:rPr lang="en-US"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8</m:t>
                        </m:r>
                        <m:r>
                          <a:rPr lang="en-US" sz="1100" b="0" i="1">
                            <a:latin typeface="Cambria Math" panose="02040503050406030204" pitchFamily="18" charset="0"/>
                          </a:rPr>
                          <m:t>∗(</m:t>
                        </m:r>
                        <m:r>
                          <a:rPr lang="he-IL" sz="1100" b="0" i="1">
                            <a:latin typeface="Cambria Math" panose="02040503050406030204" pitchFamily="18" charset="0"/>
                          </a:rPr>
                          <m:t>8</m:t>
                        </m:r>
                        <m:r>
                          <a:rPr lang="en-US" sz="1100" b="0" i="1">
                            <a:latin typeface="Cambria Math" panose="02040503050406030204" pitchFamily="18" charset="0"/>
                          </a:rPr>
                          <m:t>+1)</m:t>
                        </m:r>
                      </m:num>
                      <m:den>
                        <m:r>
                          <a:rPr lang="en-US" sz="1100" b="0" i="1">
                            <a:latin typeface="Cambria Math" panose="02040503050406030204" pitchFamily="18" charset="0"/>
                          </a:rPr>
                          <m:t>2</m:t>
                        </m:r>
                      </m:den>
                    </m:f>
                    <m:r>
                      <a:rPr lang="he-IL" sz="1100" b="0" i="1">
                        <a:latin typeface="Cambria Math" panose="02040503050406030204" pitchFamily="18" charset="0"/>
                      </a:rPr>
                      <m:t>=36</m:t>
                    </m:r>
                  </m:oMath>
                </m:oMathPara>
              </a14:m>
              <a:endParaRPr lang="en-US" sz="1100"/>
            </a:p>
          </xdr:txBody>
        </xdr:sp>
      </mc:Choice>
      <mc:Fallback xmlns="">
        <xdr:sp macro="" textlink="">
          <xdr:nvSpPr>
            <xdr:cNvPr id="12" name="TextBox 11">
              <a:extLst>
                <a:ext uri="{FF2B5EF4-FFF2-40B4-BE49-F238E27FC236}">
                  <a16:creationId xmlns:a16="http://schemas.microsoft.com/office/drawing/2014/main" id="{71249D25-6896-DE4E-812E-783592A9F7C2}"/>
                </a:ext>
              </a:extLst>
            </xdr:cNvPr>
            <xdr:cNvSpPr txBox="1"/>
          </xdr:nvSpPr>
          <xdr:spPr>
            <a:xfrm>
              <a:off x="13520527832" y="35788600"/>
              <a:ext cx="2203568" cy="3213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𝑆𝑢𝑚(𝐷𝑖𝑔𝑖𝑡𝑠)=(</a:t>
              </a:r>
              <a:r>
                <a:rPr lang="he-IL" sz="1100" b="0" i="0">
                  <a:latin typeface="Cambria Math" panose="02040503050406030204" pitchFamily="18" charset="0"/>
                </a:rPr>
                <a:t>8</a:t>
              </a:r>
              <a:r>
                <a:rPr lang="en-US" sz="1100" b="0" i="0">
                  <a:latin typeface="Cambria Math" panose="02040503050406030204" pitchFamily="18" charset="0"/>
                </a:rPr>
                <a:t>∗(</a:t>
              </a:r>
              <a:r>
                <a:rPr lang="he-IL" sz="1100" b="0" i="0">
                  <a:latin typeface="Cambria Math" panose="02040503050406030204" pitchFamily="18" charset="0"/>
                </a:rPr>
                <a:t>8</a:t>
              </a:r>
              <a:r>
                <a:rPr lang="en-US" sz="1100" b="0" i="0">
                  <a:latin typeface="Cambria Math" panose="02040503050406030204" pitchFamily="18" charset="0"/>
                </a:rPr>
                <a:t>+1))/2</a:t>
              </a:r>
              <a:r>
                <a:rPr lang="he-IL" sz="1100" b="0" i="0">
                  <a:latin typeface="Cambria Math" panose="02040503050406030204" pitchFamily="18" charset="0"/>
                </a:rPr>
                <a:t>=36</a:t>
              </a:r>
              <a:endParaRPr lang="en-US" sz="1100"/>
            </a:p>
          </xdr:txBody>
        </xdr:sp>
      </mc:Fallback>
    </mc:AlternateContent>
    <xdr:clientData/>
  </xdr:oneCellAnchor>
  <xdr:twoCellAnchor>
    <xdr:from>
      <xdr:col>0</xdr:col>
      <xdr:colOff>215900</xdr:colOff>
      <xdr:row>875</xdr:row>
      <xdr:rowOff>95250</xdr:rowOff>
    </xdr:from>
    <xdr:to>
      <xdr:col>7</xdr:col>
      <xdr:colOff>336550</xdr:colOff>
      <xdr:row>875</xdr:row>
      <xdr:rowOff>133350</xdr:rowOff>
    </xdr:to>
    <xdr:cxnSp macro="">
      <xdr:nvCxnSpPr>
        <xdr:cNvPr id="14" name="Straight Arrow Connector 13">
          <a:extLst>
            <a:ext uri="{FF2B5EF4-FFF2-40B4-BE49-F238E27FC236}">
              <a16:creationId xmlns:a16="http://schemas.microsoft.com/office/drawing/2014/main" id="{93252E1F-D56D-714A-96E4-72D9EECDBDEA}"/>
            </a:ext>
          </a:extLst>
        </xdr:cNvPr>
        <xdr:cNvCxnSpPr/>
      </xdr:nvCxnSpPr>
      <xdr:spPr>
        <a:xfrm flipV="1">
          <a:off x="13518876950" y="37966650"/>
          <a:ext cx="5899150" cy="38100"/>
        </a:xfrm>
        <a:prstGeom prst="straightConnector1">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5</xdr:col>
      <xdr:colOff>298451</xdr:colOff>
      <xdr:row>875</xdr:row>
      <xdr:rowOff>73025</xdr:rowOff>
    </xdr:from>
    <xdr:to>
      <xdr:col>6</xdr:col>
      <xdr:colOff>511176</xdr:colOff>
      <xdr:row>876</xdr:row>
      <xdr:rowOff>101600</xdr:rowOff>
    </xdr:to>
    <xdr:sp macro="" textlink="">
      <xdr:nvSpPr>
        <xdr:cNvPr id="16" name="Left Brace 15">
          <a:extLst>
            <a:ext uri="{FF2B5EF4-FFF2-40B4-BE49-F238E27FC236}">
              <a16:creationId xmlns:a16="http://schemas.microsoft.com/office/drawing/2014/main" id="{F327FEAD-27D4-6A46-A868-C51AD29DBC97}"/>
            </a:ext>
          </a:extLst>
        </xdr:cNvPr>
        <xdr:cNvSpPr/>
      </xdr:nvSpPr>
      <xdr:spPr>
        <a:xfrm rot="16200000">
          <a:off x="13519931049" y="37541200"/>
          <a:ext cx="231775" cy="1038225"/>
        </a:xfrm>
        <a:prstGeom prst="leftBrace">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twoCellAnchor>
    <xdr:from>
      <xdr:col>4</xdr:col>
      <xdr:colOff>209548</xdr:colOff>
      <xdr:row>875</xdr:row>
      <xdr:rowOff>73024</xdr:rowOff>
    </xdr:from>
    <xdr:to>
      <xdr:col>5</xdr:col>
      <xdr:colOff>276225</xdr:colOff>
      <xdr:row>876</xdr:row>
      <xdr:rowOff>38099</xdr:rowOff>
    </xdr:to>
    <xdr:sp macro="" textlink="">
      <xdr:nvSpPr>
        <xdr:cNvPr id="17" name="Left Brace 16">
          <a:extLst>
            <a:ext uri="{FF2B5EF4-FFF2-40B4-BE49-F238E27FC236}">
              <a16:creationId xmlns:a16="http://schemas.microsoft.com/office/drawing/2014/main" id="{1BC6E68A-0DB9-874F-903F-612B46F64FEA}"/>
            </a:ext>
          </a:extLst>
        </xdr:cNvPr>
        <xdr:cNvSpPr/>
      </xdr:nvSpPr>
      <xdr:spPr>
        <a:xfrm rot="16200000">
          <a:off x="13520950226" y="37582473"/>
          <a:ext cx="168275" cy="892177"/>
        </a:xfrm>
        <a:prstGeom prst="leftBrace">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twoCellAnchor>
    <xdr:from>
      <xdr:col>3</xdr:col>
      <xdr:colOff>311150</xdr:colOff>
      <xdr:row>875</xdr:row>
      <xdr:rowOff>73024</xdr:rowOff>
    </xdr:from>
    <xdr:to>
      <xdr:col>4</xdr:col>
      <xdr:colOff>168275</xdr:colOff>
      <xdr:row>876</xdr:row>
      <xdr:rowOff>25400</xdr:rowOff>
    </xdr:to>
    <xdr:sp macro="" textlink="">
      <xdr:nvSpPr>
        <xdr:cNvPr id="18" name="Left Brace 17">
          <a:extLst>
            <a:ext uri="{FF2B5EF4-FFF2-40B4-BE49-F238E27FC236}">
              <a16:creationId xmlns:a16="http://schemas.microsoft.com/office/drawing/2014/main" id="{DC8491BD-9688-874F-A547-4BD21F8900CF}"/>
            </a:ext>
          </a:extLst>
        </xdr:cNvPr>
        <xdr:cNvSpPr/>
      </xdr:nvSpPr>
      <xdr:spPr>
        <a:xfrm rot="16200000">
          <a:off x="13521785250" y="37680899"/>
          <a:ext cx="155576" cy="682625"/>
        </a:xfrm>
        <a:prstGeom prst="leftBrace">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twoCellAnchor>
    <xdr:from>
      <xdr:col>1</xdr:col>
      <xdr:colOff>196847</xdr:colOff>
      <xdr:row>875</xdr:row>
      <xdr:rowOff>92074</xdr:rowOff>
    </xdr:from>
    <xdr:to>
      <xdr:col>3</xdr:col>
      <xdr:colOff>263523</xdr:colOff>
      <xdr:row>876</xdr:row>
      <xdr:rowOff>6350</xdr:rowOff>
    </xdr:to>
    <xdr:sp macro="" textlink="">
      <xdr:nvSpPr>
        <xdr:cNvPr id="19" name="Left Brace 18">
          <a:extLst>
            <a:ext uri="{FF2B5EF4-FFF2-40B4-BE49-F238E27FC236}">
              <a16:creationId xmlns:a16="http://schemas.microsoft.com/office/drawing/2014/main" id="{CB46A0F0-9828-1344-92AE-E693E459FB51}"/>
            </a:ext>
          </a:extLst>
        </xdr:cNvPr>
        <xdr:cNvSpPr/>
      </xdr:nvSpPr>
      <xdr:spPr>
        <a:xfrm rot="16200000">
          <a:off x="13523052077" y="37163374"/>
          <a:ext cx="117476" cy="1717676"/>
        </a:xfrm>
        <a:prstGeom prst="leftBrace">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oneCellAnchor>
    <xdr:from>
      <xdr:col>3</xdr:col>
      <xdr:colOff>0</xdr:colOff>
      <xdr:row>883</xdr:row>
      <xdr:rowOff>0</xdr:rowOff>
    </xdr:from>
    <xdr:ext cx="2502018" cy="346954"/>
    <mc:AlternateContent xmlns:mc="http://schemas.openxmlformats.org/markup-compatibility/2006" xmlns:a14="http://schemas.microsoft.com/office/drawing/2010/main">
      <mc:Choice Requires="a14">
        <xdr:sp macro="" textlink="">
          <xdr:nvSpPr>
            <xdr:cNvPr id="20" name="TextBox 19">
              <a:extLst>
                <a:ext uri="{FF2B5EF4-FFF2-40B4-BE49-F238E27FC236}">
                  <a16:creationId xmlns:a16="http://schemas.microsoft.com/office/drawing/2014/main" id="{C916215E-9A6A-FB4A-B607-6FB87B3DC2F2}"/>
                </a:ext>
              </a:extLst>
            </xdr:cNvPr>
            <xdr:cNvSpPr txBox="1"/>
          </xdr:nvSpPr>
          <xdr:spPr>
            <a:xfrm>
              <a:off x="13520013482" y="39293800"/>
              <a:ext cx="2502018" cy="3469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r>
                      <a:rPr lang="en-US" sz="1100" b="0" i="1">
                        <a:latin typeface="Cambria Math" panose="02040503050406030204" pitchFamily="18" charset="0"/>
                      </a:rPr>
                      <m:t>=</m:t>
                    </m:r>
                    <m:d>
                      <m:dPr>
                        <m:ctrlPr>
                          <a:rPr lang="en-US" sz="1100" b="0" i="1">
                            <a:latin typeface="Cambria Math" panose="02040503050406030204" pitchFamily="18" charset="0"/>
                          </a:rPr>
                        </m:ctrlPr>
                      </m:dPr>
                      <m:e>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0</m:t>
                            </m:r>
                          </m:sub>
                        </m:sSub>
                        <m:r>
                          <a:rPr lang="en-US" sz="1100" b="0" i="1">
                            <a:latin typeface="Cambria Math" panose="02040503050406030204" pitchFamily="18" charset="0"/>
                          </a:rPr>
                          <m:t>−</m:t>
                        </m:r>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𝐺</m:t>
                            </m:r>
                          </m:sub>
                        </m:sSub>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𝐷𝑖𝑔𝑖𝑡</m:t>
                        </m:r>
                      </m:num>
                      <m:den>
                        <m:r>
                          <a:rPr lang="en-US" sz="1100" b="0" i="1">
                            <a:latin typeface="Cambria Math" panose="02040503050406030204" pitchFamily="18" charset="0"/>
                          </a:rPr>
                          <m:t>𝑆𝑢𝑚</m:t>
                        </m:r>
                        <m:r>
                          <a:rPr lang="en-US" sz="1100" b="0" i="1">
                            <a:latin typeface="Cambria Math" panose="02040503050406030204" pitchFamily="18" charset="0"/>
                          </a:rPr>
                          <m:t>(</m:t>
                        </m:r>
                        <m:r>
                          <a:rPr lang="en-US" sz="1100" b="0" i="1">
                            <a:latin typeface="Cambria Math" panose="02040503050406030204" pitchFamily="18" charset="0"/>
                          </a:rPr>
                          <m:t>𝐷𝑖𝑔𝑖𝑡𝑠</m:t>
                        </m:r>
                        <m:r>
                          <a:rPr lang="en-US" sz="1100" b="0" i="1">
                            <a:latin typeface="Cambria Math" panose="02040503050406030204" pitchFamily="18" charset="0"/>
                          </a:rPr>
                          <m:t>)</m:t>
                        </m:r>
                      </m:den>
                    </m:f>
                  </m:oMath>
                </m:oMathPara>
              </a14:m>
              <a:endParaRPr lang="en-US" sz="1100"/>
            </a:p>
          </xdr:txBody>
        </xdr:sp>
      </mc:Choice>
      <mc:Fallback xmlns="">
        <xdr:sp macro="" textlink="">
          <xdr:nvSpPr>
            <xdr:cNvPr id="20" name="TextBox 19">
              <a:extLst>
                <a:ext uri="{FF2B5EF4-FFF2-40B4-BE49-F238E27FC236}">
                  <a16:creationId xmlns:a16="http://schemas.microsoft.com/office/drawing/2014/main" id="{C916215E-9A6A-FB4A-B607-6FB87B3DC2F2}"/>
                </a:ext>
              </a:extLst>
            </xdr:cNvPr>
            <xdr:cNvSpPr txBox="1"/>
          </xdr:nvSpPr>
          <xdr:spPr>
            <a:xfrm>
              <a:off x="13520013482" y="39293800"/>
              <a:ext cx="2502018" cy="3469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𝐷=(𝐼_0−𝐼_𝐺 )∗𝐷𝑖𝑔𝑖𝑡/(𝑆𝑢𝑚(𝐷𝑖𝑔𝑖𝑡𝑠))</a:t>
              </a:r>
              <a:endParaRPr lang="en-US" sz="1100"/>
            </a:p>
          </xdr:txBody>
        </xdr:sp>
      </mc:Fallback>
    </mc:AlternateContent>
    <xdr:clientData/>
  </xdr:oneCellAnchor>
  <xdr:oneCellAnchor>
    <xdr:from>
      <xdr:col>1</xdr:col>
      <xdr:colOff>641350</xdr:colOff>
      <xdr:row>889</xdr:row>
      <xdr:rowOff>19050</xdr:rowOff>
    </xdr:from>
    <xdr:ext cx="3835518" cy="318036"/>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CA4F9E81-9676-BE4C-BF32-E7E682157534}"/>
                </a:ext>
              </a:extLst>
            </xdr:cNvPr>
            <xdr:cNvSpPr txBox="1"/>
          </xdr:nvSpPr>
          <xdr:spPr>
            <a:xfrm>
              <a:off x="13519689632" y="40532050"/>
              <a:ext cx="383551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he-IL" sz="1100" b="0" i="1">
                            <a:latin typeface="Cambria Math" panose="02040503050406030204" pitchFamily="18" charset="0"/>
                          </a:rPr>
                        </m:ctrlPr>
                      </m:dPr>
                      <m:e>
                        <m:r>
                          <a:rPr lang="he-IL" sz="1100" b="0" i="1">
                            <a:latin typeface="Cambria Math" panose="02040503050406030204" pitchFamily="18" charset="0"/>
                          </a:rPr>
                          <m:t>2017</m:t>
                        </m:r>
                      </m:e>
                    </m:d>
                    <m:r>
                      <a:rPr lang="en-US" sz="1100" b="0" i="1">
                        <a:latin typeface="Cambria Math" panose="02040503050406030204" pitchFamily="18" charset="0"/>
                      </a:rPr>
                      <m:t>=</m:t>
                    </m:r>
                    <m:d>
                      <m:dPr>
                        <m:ctrlPr>
                          <a:rPr lang="he-IL" sz="1100" b="0" i="1">
                            <a:latin typeface="Cambria Math" panose="02040503050406030204" pitchFamily="18" charset="0"/>
                          </a:rPr>
                        </m:ctrlPr>
                      </m:dPr>
                      <m:e>
                        <m:r>
                          <a:rPr lang="he-IL" sz="1100" b="0" i="1">
                            <a:latin typeface="Cambria Math" panose="02040503050406030204" pitchFamily="18" charset="0"/>
                          </a:rPr>
                          <m:t>5,000</m:t>
                        </m:r>
                        <m:r>
                          <a:rPr lang="en-US" sz="1100" b="0" i="1">
                            <a:latin typeface="Cambria Math" panose="02040503050406030204" pitchFamily="18" charset="0"/>
                          </a:rPr>
                          <m:t>−</m:t>
                        </m:r>
                        <m:r>
                          <a:rPr lang="he-IL" sz="1100" b="0" i="1">
                            <a:latin typeface="Cambria Math" panose="02040503050406030204" pitchFamily="18" charset="0"/>
                          </a:rPr>
                          <m:t>1,000</m:t>
                        </m:r>
                      </m:e>
                    </m:d>
                    <m:r>
                      <a:rPr lang="en-US"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8</m:t>
                        </m:r>
                      </m:num>
                      <m:den>
                        <m:r>
                          <a:rPr lang="he-IL" sz="1100" b="0" i="1">
                            <a:latin typeface="Cambria Math" panose="02040503050406030204" pitchFamily="18" charset="0"/>
                          </a:rPr>
                          <m:t>36</m:t>
                        </m:r>
                      </m:den>
                    </m:f>
                    <m:r>
                      <a:rPr lang="en-US" sz="1100" b="0" i="1">
                        <a:latin typeface="Cambria Math" panose="02040503050406030204" pitchFamily="18" charset="0"/>
                      </a:rPr>
                      <m:t>≈889</m:t>
                    </m:r>
                  </m:oMath>
                </m:oMathPara>
              </a14:m>
              <a:endParaRPr lang="en-US" sz="1100"/>
            </a:p>
          </xdr:txBody>
        </xdr:sp>
      </mc:Choice>
      <mc:Fallback xmlns="">
        <xdr:sp macro="" textlink="">
          <xdr:nvSpPr>
            <xdr:cNvPr id="21" name="TextBox 20">
              <a:extLst>
                <a:ext uri="{FF2B5EF4-FFF2-40B4-BE49-F238E27FC236}">
                  <a16:creationId xmlns:a16="http://schemas.microsoft.com/office/drawing/2014/main" id="{CA4F9E81-9676-BE4C-BF32-E7E682157534}"/>
                </a:ext>
              </a:extLst>
            </xdr:cNvPr>
            <xdr:cNvSpPr txBox="1"/>
          </xdr:nvSpPr>
          <xdr:spPr>
            <a:xfrm>
              <a:off x="13519689632" y="40532050"/>
              <a:ext cx="383551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a:t>
              </a:r>
              <a:r>
                <a:rPr lang="he-IL" sz="1100" b="0" i="0">
                  <a:latin typeface="Cambria Math" panose="02040503050406030204" pitchFamily="18" charset="0"/>
                </a:rPr>
                <a:t>(2017)</a:t>
              </a:r>
              <a:r>
                <a:rPr lang="en-US" sz="1100" b="0" i="0">
                  <a:latin typeface="Cambria Math" panose="02040503050406030204" pitchFamily="18" charset="0"/>
                </a:rPr>
                <a:t>=(</a:t>
              </a:r>
              <a:r>
                <a:rPr lang="he-IL" sz="1100" b="0" i="0">
                  <a:latin typeface="Cambria Math" panose="02040503050406030204" pitchFamily="18" charset="0"/>
                </a:rPr>
                <a:t>5,000</a:t>
              </a:r>
              <a:r>
                <a:rPr lang="en-US" sz="1100" b="0" i="0">
                  <a:latin typeface="Cambria Math" panose="02040503050406030204" pitchFamily="18" charset="0"/>
                </a:rPr>
                <a:t>−</a:t>
              </a:r>
              <a:r>
                <a:rPr lang="he-IL" sz="1100" b="0" i="0">
                  <a:latin typeface="Cambria Math" panose="02040503050406030204" pitchFamily="18" charset="0"/>
                </a:rPr>
                <a:t>1,000</a:t>
              </a:r>
              <a:r>
                <a:rPr lang="en-US" sz="1100" b="0" i="0">
                  <a:latin typeface="Cambria Math" panose="02040503050406030204" pitchFamily="18" charset="0"/>
                </a:rPr>
                <a:t>)∗</a:t>
              </a:r>
              <a:r>
                <a:rPr lang="he-IL" sz="1100" b="0" i="0">
                  <a:latin typeface="Cambria Math" panose="02040503050406030204" pitchFamily="18" charset="0"/>
                </a:rPr>
                <a:t>8</a:t>
              </a:r>
              <a:r>
                <a:rPr lang="en-US" sz="1100" b="0" i="0">
                  <a:latin typeface="Cambria Math" panose="02040503050406030204" pitchFamily="18" charset="0"/>
                </a:rPr>
                <a:t>/</a:t>
              </a:r>
              <a:r>
                <a:rPr lang="he-IL" sz="1100" b="0" i="0">
                  <a:latin typeface="Cambria Math" panose="02040503050406030204" pitchFamily="18" charset="0"/>
                </a:rPr>
                <a:t>36</a:t>
              </a:r>
              <a:r>
                <a:rPr lang="en-US" sz="1100" b="0" i="0">
                  <a:latin typeface="Cambria Math" panose="02040503050406030204" pitchFamily="18" charset="0"/>
                </a:rPr>
                <a:t>≈889</a:t>
              </a:r>
              <a:endParaRPr lang="en-US" sz="1100"/>
            </a:p>
          </xdr:txBody>
        </xdr:sp>
      </mc:Fallback>
    </mc:AlternateContent>
    <xdr:clientData/>
  </xdr:oneCellAnchor>
  <xdr:twoCellAnchor>
    <xdr:from>
      <xdr:col>4</xdr:col>
      <xdr:colOff>171450</xdr:colOff>
      <xdr:row>887</xdr:row>
      <xdr:rowOff>184150</xdr:rowOff>
    </xdr:from>
    <xdr:to>
      <xdr:col>4</xdr:col>
      <xdr:colOff>171450</xdr:colOff>
      <xdr:row>889</xdr:row>
      <xdr:rowOff>114300</xdr:rowOff>
    </xdr:to>
    <xdr:cxnSp macro="">
      <xdr:nvCxnSpPr>
        <xdr:cNvPr id="23" name="Straight Arrow Connector 22">
          <a:extLst>
            <a:ext uri="{FF2B5EF4-FFF2-40B4-BE49-F238E27FC236}">
              <a16:creationId xmlns:a16="http://schemas.microsoft.com/office/drawing/2014/main" id="{A13752C0-87B7-AC4D-A6E7-DEDD3E8BB24C}"/>
            </a:ext>
          </a:extLst>
        </xdr:cNvPr>
        <xdr:cNvCxnSpPr/>
      </xdr:nvCxnSpPr>
      <xdr:spPr>
        <a:xfrm flipV="1">
          <a:off x="13521518550" y="40290750"/>
          <a:ext cx="0" cy="336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571500</xdr:colOff>
      <xdr:row>890</xdr:row>
      <xdr:rowOff>114300</xdr:rowOff>
    </xdr:from>
    <xdr:to>
      <xdr:col>3</xdr:col>
      <xdr:colOff>577850</xdr:colOff>
      <xdr:row>892</xdr:row>
      <xdr:rowOff>0</xdr:rowOff>
    </xdr:to>
    <xdr:cxnSp macro="">
      <xdr:nvCxnSpPr>
        <xdr:cNvPr id="24" name="Straight Arrow Connector 23">
          <a:extLst>
            <a:ext uri="{FF2B5EF4-FFF2-40B4-BE49-F238E27FC236}">
              <a16:creationId xmlns:a16="http://schemas.microsoft.com/office/drawing/2014/main" id="{1C343A35-C7FD-1145-851B-32A118BCDA18}"/>
            </a:ext>
          </a:extLst>
        </xdr:cNvPr>
        <xdr:cNvCxnSpPr/>
      </xdr:nvCxnSpPr>
      <xdr:spPr>
        <a:xfrm>
          <a:off x="13521937650" y="40830500"/>
          <a:ext cx="6350" cy="292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685800</xdr:colOff>
      <xdr:row>887</xdr:row>
      <xdr:rowOff>177800</xdr:rowOff>
    </xdr:from>
    <xdr:to>
      <xdr:col>3</xdr:col>
      <xdr:colOff>69850</xdr:colOff>
      <xdr:row>889</xdr:row>
      <xdr:rowOff>0</xdr:rowOff>
    </xdr:to>
    <xdr:cxnSp macro="">
      <xdr:nvCxnSpPr>
        <xdr:cNvPr id="26" name="Straight Arrow Connector 25">
          <a:extLst>
            <a:ext uri="{FF2B5EF4-FFF2-40B4-BE49-F238E27FC236}">
              <a16:creationId xmlns:a16="http://schemas.microsoft.com/office/drawing/2014/main" id="{7455559B-61CA-9440-85E7-4845B3FB75F6}"/>
            </a:ext>
          </a:extLst>
        </xdr:cNvPr>
        <xdr:cNvCxnSpPr/>
      </xdr:nvCxnSpPr>
      <xdr:spPr>
        <a:xfrm flipV="1">
          <a:off x="13522445650" y="40284400"/>
          <a:ext cx="209550" cy="2286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590550</xdr:colOff>
      <xdr:row>890</xdr:row>
      <xdr:rowOff>114300</xdr:rowOff>
    </xdr:from>
    <xdr:to>
      <xdr:col>3</xdr:col>
      <xdr:colOff>69850</xdr:colOff>
      <xdr:row>891</xdr:row>
      <xdr:rowOff>133350</xdr:rowOff>
    </xdr:to>
    <xdr:cxnSp macro="">
      <xdr:nvCxnSpPr>
        <xdr:cNvPr id="29" name="Straight Arrow Connector 28">
          <a:extLst>
            <a:ext uri="{FF2B5EF4-FFF2-40B4-BE49-F238E27FC236}">
              <a16:creationId xmlns:a16="http://schemas.microsoft.com/office/drawing/2014/main" id="{89420019-E70D-C04D-AED8-DBCFD5ABD689}"/>
            </a:ext>
          </a:extLst>
        </xdr:cNvPr>
        <xdr:cNvCxnSpPr/>
      </xdr:nvCxnSpPr>
      <xdr:spPr>
        <a:xfrm>
          <a:off x="13522445650" y="40830500"/>
          <a:ext cx="304800" cy="2222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577850</xdr:colOff>
      <xdr:row>901</xdr:row>
      <xdr:rowOff>38100</xdr:rowOff>
    </xdr:from>
    <xdr:ext cx="3835518" cy="318036"/>
    <mc:AlternateContent xmlns:mc="http://schemas.openxmlformats.org/markup-compatibility/2006" xmlns:a14="http://schemas.microsoft.com/office/drawing/2010/main">
      <mc:Choice Requires="a14">
        <xdr:sp macro="" textlink="">
          <xdr:nvSpPr>
            <xdr:cNvPr id="32" name="TextBox 31">
              <a:extLst>
                <a:ext uri="{FF2B5EF4-FFF2-40B4-BE49-F238E27FC236}">
                  <a16:creationId xmlns:a16="http://schemas.microsoft.com/office/drawing/2014/main" id="{2E8C4D52-2C38-AC44-A963-113F55D043BF}"/>
                </a:ext>
              </a:extLst>
            </xdr:cNvPr>
            <xdr:cNvSpPr txBox="1"/>
          </xdr:nvSpPr>
          <xdr:spPr>
            <a:xfrm>
              <a:off x="13519753132" y="42989500"/>
              <a:ext cx="383551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he-IL" sz="1100" b="0" i="1">
                            <a:latin typeface="Cambria Math" panose="02040503050406030204" pitchFamily="18" charset="0"/>
                          </a:rPr>
                        </m:ctrlPr>
                      </m:dPr>
                      <m:e>
                        <m:r>
                          <a:rPr lang="he-IL" sz="1100" b="0" i="1">
                            <a:latin typeface="Cambria Math" panose="02040503050406030204" pitchFamily="18" charset="0"/>
                          </a:rPr>
                          <m:t>2018</m:t>
                        </m:r>
                      </m:e>
                    </m:d>
                    <m:r>
                      <a:rPr lang="en-US" sz="1100" b="0" i="1">
                        <a:latin typeface="Cambria Math" panose="02040503050406030204" pitchFamily="18" charset="0"/>
                      </a:rPr>
                      <m:t>=</m:t>
                    </m:r>
                    <m:d>
                      <m:dPr>
                        <m:ctrlPr>
                          <a:rPr lang="he-IL" sz="1100" b="0" i="1">
                            <a:latin typeface="Cambria Math" panose="02040503050406030204" pitchFamily="18" charset="0"/>
                          </a:rPr>
                        </m:ctrlPr>
                      </m:dPr>
                      <m:e>
                        <m:r>
                          <a:rPr lang="he-IL" sz="1100" b="0" i="1">
                            <a:latin typeface="Cambria Math" panose="02040503050406030204" pitchFamily="18" charset="0"/>
                          </a:rPr>
                          <m:t>5,000</m:t>
                        </m:r>
                        <m:r>
                          <a:rPr lang="en-US" sz="1100" b="0" i="1">
                            <a:latin typeface="Cambria Math" panose="02040503050406030204" pitchFamily="18" charset="0"/>
                          </a:rPr>
                          <m:t>−</m:t>
                        </m:r>
                        <m:r>
                          <a:rPr lang="he-IL" sz="1100" b="0" i="1">
                            <a:latin typeface="Cambria Math" panose="02040503050406030204" pitchFamily="18" charset="0"/>
                          </a:rPr>
                          <m:t>1,000</m:t>
                        </m:r>
                      </m:e>
                    </m:d>
                    <m:r>
                      <a:rPr lang="en-US"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7</m:t>
                        </m:r>
                      </m:num>
                      <m:den>
                        <m:r>
                          <a:rPr lang="he-IL" sz="1100" b="0" i="1">
                            <a:latin typeface="Cambria Math" panose="02040503050406030204" pitchFamily="18" charset="0"/>
                          </a:rPr>
                          <m:t>36</m:t>
                        </m:r>
                      </m:den>
                    </m:f>
                    <m:r>
                      <a:rPr lang="en-US" sz="1100" b="0" i="1">
                        <a:latin typeface="Cambria Math" panose="02040503050406030204" pitchFamily="18" charset="0"/>
                      </a:rPr>
                      <m:t>≈</m:t>
                    </m:r>
                    <m:r>
                      <a:rPr lang="he-IL" sz="1100" b="0" i="1">
                        <a:latin typeface="Cambria Math" panose="02040503050406030204" pitchFamily="18" charset="0"/>
                      </a:rPr>
                      <m:t>778</m:t>
                    </m:r>
                  </m:oMath>
                </m:oMathPara>
              </a14:m>
              <a:endParaRPr lang="en-US" sz="1100"/>
            </a:p>
          </xdr:txBody>
        </xdr:sp>
      </mc:Choice>
      <mc:Fallback xmlns="">
        <xdr:sp macro="" textlink="">
          <xdr:nvSpPr>
            <xdr:cNvPr id="32" name="TextBox 31">
              <a:extLst>
                <a:ext uri="{FF2B5EF4-FFF2-40B4-BE49-F238E27FC236}">
                  <a16:creationId xmlns:a16="http://schemas.microsoft.com/office/drawing/2014/main" id="{2E8C4D52-2C38-AC44-A963-113F55D043BF}"/>
                </a:ext>
              </a:extLst>
            </xdr:cNvPr>
            <xdr:cNvSpPr txBox="1"/>
          </xdr:nvSpPr>
          <xdr:spPr>
            <a:xfrm>
              <a:off x="13519753132" y="42989500"/>
              <a:ext cx="383551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a:t>
              </a:r>
              <a:r>
                <a:rPr lang="he-IL" sz="1100" b="0" i="0">
                  <a:latin typeface="Cambria Math" panose="02040503050406030204" pitchFamily="18" charset="0"/>
                </a:rPr>
                <a:t>(2018)</a:t>
              </a:r>
              <a:r>
                <a:rPr lang="en-US" sz="1100" b="0" i="0">
                  <a:latin typeface="Cambria Math" panose="02040503050406030204" pitchFamily="18" charset="0"/>
                </a:rPr>
                <a:t>=(</a:t>
              </a:r>
              <a:r>
                <a:rPr lang="he-IL" sz="1100" b="0" i="0">
                  <a:latin typeface="Cambria Math" panose="02040503050406030204" pitchFamily="18" charset="0"/>
                </a:rPr>
                <a:t>5,000</a:t>
              </a:r>
              <a:r>
                <a:rPr lang="en-US" sz="1100" b="0" i="0">
                  <a:latin typeface="Cambria Math" panose="02040503050406030204" pitchFamily="18" charset="0"/>
                </a:rPr>
                <a:t>−</a:t>
              </a:r>
              <a:r>
                <a:rPr lang="he-IL" sz="1100" b="0" i="0">
                  <a:latin typeface="Cambria Math" panose="02040503050406030204" pitchFamily="18" charset="0"/>
                </a:rPr>
                <a:t>1,000</a:t>
              </a:r>
              <a:r>
                <a:rPr lang="en-US" sz="1100" b="0" i="0">
                  <a:latin typeface="Cambria Math" panose="02040503050406030204" pitchFamily="18" charset="0"/>
                </a:rPr>
                <a:t>)∗</a:t>
              </a:r>
              <a:r>
                <a:rPr lang="he-IL" sz="1100" b="0" i="0">
                  <a:latin typeface="Cambria Math" panose="02040503050406030204" pitchFamily="18" charset="0"/>
                </a:rPr>
                <a:t>7</a:t>
              </a:r>
              <a:r>
                <a:rPr lang="en-US" sz="1100" b="0" i="0">
                  <a:latin typeface="Cambria Math" panose="02040503050406030204" pitchFamily="18" charset="0"/>
                </a:rPr>
                <a:t>/</a:t>
              </a:r>
              <a:r>
                <a:rPr lang="he-IL" sz="1100" b="0" i="0">
                  <a:latin typeface="Cambria Math" panose="02040503050406030204" pitchFamily="18" charset="0"/>
                </a:rPr>
                <a:t>36</a:t>
              </a:r>
              <a:r>
                <a:rPr lang="en-US" sz="1100" b="0" i="0">
                  <a:latin typeface="Cambria Math" panose="02040503050406030204" pitchFamily="18" charset="0"/>
                </a:rPr>
                <a:t>≈</a:t>
              </a:r>
              <a:r>
                <a:rPr lang="he-IL" sz="1100" b="0" i="0">
                  <a:latin typeface="Cambria Math" panose="02040503050406030204" pitchFamily="18" charset="0"/>
                </a:rPr>
                <a:t>778</a:t>
              </a:r>
              <a:endParaRPr lang="en-US" sz="1100"/>
            </a:p>
          </xdr:txBody>
        </xdr:sp>
      </mc:Fallback>
    </mc:AlternateContent>
    <xdr:clientData/>
  </xdr:oneCellAnchor>
  <xdr:twoCellAnchor>
    <xdr:from>
      <xdr:col>2</xdr:col>
      <xdr:colOff>768350</xdr:colOff>
      <xdr:row>899</xdr:row>
      <xdr:rowOff>190500</xdr:rowOff>
    </xdr:from>
    <xdr:to>
      <xdr:col>3</xdr:col>
      <xdr:colOff>152400</xdr:colOff>
      <xdr:row>901</xdr:row>
      <xdr:rowOff>12700</xdr:rowOff>
    </xdr:to>
    <xdr:cxnSp macro="">
      <xdr:nvCxnSpPr>
        <xdr:cNvPr id="33" name="Straight Arrow Connector 32">
          <a:extLst>
            <a:ext uri="{FF2B5EF4-FFF2-40B4-BE49-F238E27FC236}">
              <a16:creationId xmlns:a16="http://schemas.microsoft.com/office/drawing/2014/main" id="{9901213D-522E-A345-B4B1-B464F86D5387}"/>
            </a:ext>
          </a:extLst>
        </xdr:cNvPr>
        <xdr:cNvCxnSpPr/>
      </xdr:nvCxnSpPr>
      <xdr:spPr>
        <a:xfrm flipV="1">
          <a:off x="13522363100" y="42735500"/>
          <a:ext cx="209550" cy="2286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565150</xdr:colOff>
      <xdr:row>903</xdr:row>
      <xdr:rowOff>152400</xdr:rowOff>
    </xdr:from>
    <xdr:ext cx="3835518" cy="318036"/>
    <mc:AlternateContent xmlns:mc="http://schemas.openxmlformats.org/markup-compatibility/2006" xmlns:a14="http://schemas.microsoft.com/office/drawing/2010/main">
      <mc:Choice Requires="a14">
        <xdr:sp macro="" textlink="">
          <xdr:nvSpPr>
            <xdr:cNvPr id="34" name="TextBox 33">
              <a:extLst>
                <a:ext uri="{FF2B5EF4-FFF2-40B4-BE49-F238E27FC236}">
                  <a16:creationId xmlns:a16="http://schemas.microsoft.com/office/drawing/2014/main" id="{C72DE814-9C0C-9040-99C7-3F32E9E23EA7}"/>
                </a:ext>
              </a:extLst>
            </xdr:cNvPr>
            <xdr:cNvSpPr txBox="1"/>
          </xdr:nvSpPr>
          <xdr:spPr>
            <a:xfrm>
              <a:off x="13519765832" y="43510200"/>
              <a:ext cx="383551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he-IL" sz="1100" b="0" i="1">
                            <a:latin typeface="Cambria Math" panose="02040503050406030204" pitchFamily="18" charset="0"/>
                          </a:rPr>
                        </m:ctrlPr>
                      </m:dPr>
                      <m:e>
                        <m:r>
                          <a:rPr lang="he-IL" sz="1100" b="0" i="1">
                            <a:latin typeface="Cambria Math" panose="02040503050406030204" pitchFamily="18" charset="0"/>
                          </a:rPr>
                          <m:t>2019</m:t>
                        </m:r>
                      </m:e>
                    </m:d>
                    <m:r>
                      <a:rPr lang="en-US" sz="1100" b="0" i="1">
                        <a:latin typeface="Cambria Math" panose="02040503050406030204" pitchFamily="18" charset="0"/>
                      </a:rPr>
                      <m:t>=</m:t>
                    </m:r>
                    <m:d>
                      <m:dPr>
                        <m:ctrlPr>
                          <a:rPr lang="he-IL" sz="1100" b="0" i="1">
                            <a:latin typeface="Cambria Math" panose="02040503050406030204" pitchFamily="18" charset="0"/>
                          </a:rPr>
                        </m:ctrlPr>
                      </m:dPr>
                      <m:e>
                        <m:r>
                          <a:rPr lang="he-IL" sz="1100" b="0" i="1">
                            <a:latin typeface="Cambria Math" panose="02040503050406030204" pitchFamily="18" charset="0"/>
                          </a:rPr>
                          <m:t>5,000</m:t>
                        </m:r>
                        <m:r>
                          <a:rPr lang="en-US" sz="1100" b="0" i="1">
                            <a:latin typeface="Cambria Math" panose="02040503050406030204" pitchFamily="18" charset="0"/>
                          </a:rPr>
                          <m:t>−</m:t>
                        </m:r>
                        <m:r>
                          <a:rPr lang="he-IL" sz="1100" b="0" i="1">
                            <a:latin typeface="Cambria Math" panose="02040503050406030204" pitchFamily="18" charset="0"/>
                          </a:rPr>
                          <m:t>1,000</m:t>
                        </m:r>
                      </m:e>
                    </m:d>
                    <m:r>
                      <a:rPr lang="en-US"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6</m:t>
                        </m:r>
                      </m:num>
                      <m:den>
                        <m:r>
                          <a:rPr lang="he-IL" sz="1100" b="0" i="1">
                            <a:latin typeface="Cambria Math" panose="02040503050406030204" pitchFamily="18" charset="0"/>
                          </a:rPr>
                          <m:t>36</m:t>
                        </m:r>
                      </m:den>
                    </m:f>
                    <m:r>
                      <a:rPr lang="en-US" sz="1100" b="0" i="1">
                        <a:latin typeface="Cambria Math" panose="02040503050406030204" pitchFamily="18" charset="0"/>
                      </a:rPr>
                      <m:t>≈</m:t>
                    </m:r>
                    <m:r>
                      <a:rPr lang="he-IL" sz="1100" b="0" i="1">
                        <a:latin typeface="Cambria Math" panose="02040503050406030204" pitchFamily="18" charset="0"/>
                      </a:rPr>
                      <m:t>667</m:t>
                    </m:r>
                  </m:oMath>
                </m:oMathPara>
              </a14:m>
              <a:endParaRPr lang="en-US" sz="1100"/>
            </a:p>
          </xdr:txBody>
        </xdr:sp>
      </mc:Choice>
      <mc:Fallback xmlns="">
        <xdr:sp macro="" textlink="">
          <xdr:nvSpPr>
            <xdr:cNvPr id="34" name="TextBox 33">
              <a:extLst>
                <a:ext uri="{FF2B5EF4-FFF2-40B4-BE49-F238E27FC236}">
                  <a16:creationId xmlns:a16="http://schemas.microsoft.com/office/drawing/2014/main" id="{C72DE814-9C0C-9040-99C7-3F32E9E23EA7}"/>
                </a:ext>
              </a:extLst>
            </xdr:cNvPr>
            <xdr:cNvSpPr txBox="1"/>
          </xdr:nvSpPr>
          <xdr:spPr>
            <a:xfrm>
              <a:off x="13519765832" y="43510200"/>
              <a:ext cx="383551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a:t>
              </a:r>
              <a:r>
                <a:rPr lang="he-IL" sz="1100" b="0" i="0">
                  <a:latin typeface="Cambria Math" panose="02040503050406030204" pitchFamily="18" charset="0"/>
                </a:rPr>
                <a:t>(2019)</a:t>
              </a:r>
              <a:r>
                <a:rPr lang="en-US" sz="1100" b="0" i="0">
                  <a:latin typeface="Cambria Math" panose="02040503050406030204" pitchFamily="18" charset="0"/>
                </a:rPr>
                <a:t>=(</a:t>
              </a:r>
              <a:r>
                <a:rPr lang="he-IL" sz="1100" b="0" i="0">
                  <a:latin typeface="Cambria Math" panose="02040503050406030204" pitchFamily="18" charset="0"/>
                </a:rPr>
                <a:t>5,000</a:t>
              </a:r>
              <a:r>
                <a:rPr lang="en-US" sz="1100" b="0" i="0">
                  <a:latin typeface="Cambria Math" panose="02040503050406030204" pitchFamily="18" charset="0"/>
                </a:rPr>
                <a:t>−</a:t>
              </a:r>
              <a:r>
                <a:rPr lang="he-IL" sz="1100" b="0" i="0">
                  <a:latin typeface="Cambria Math" panose="02040503050406030204" pitchFamily="18" charset="0"/>
                </a:rPr>
                <a:t>1,000</a:t>
              </a:r>
              <a:r>
                <a:rPr lang="en-US" sz="1100" b="0" i="0">
                  <a:latin typeface="Cambria Math" panose="02040503050406030204" pitchFamily="18" charset="0"/>
                </a:rPr>
                <a:t>)∗</a:t>
              </a:r>
              <a:r>
                <a:rPr lang="he-IL" sz="1100" b="0" i="0">
                  <a:latin typeface="Cambria Math" panose="02040503050406030204" pitchFamily="18" charset="0"/>
                </a:rPr>
                <a:t>6</a:t>
              </a:r>
              <a:r>
                <a:rPr lang="en-US" sz="1100" b="0" i="0">
                  <a:latin typeface="Cambria Math" panose="02040503050406030204" pitchFamily="18" charset="0"/>
                </a:rPr>
                <a:t>/</a:t>
              </a:r>
              <a:r>
                <a:rPr lang="he-IL" sz="1100" b="0" i="0">
                  <a:latin typeface="Cambria Math" panose="02040503050406030204" pitchFamily="18" charset="0"/>
                </a:rPr>
                <a:t>36</a:t>
              </a:r>
              <a:r>
                <a:rPr lang="en-US" sz="1100" b="0" i="0">
                  <a:latin typeface="Cambria Math" panose="02040503050406030204" pitchFamily="18" charset="0"/>
                </a:rPr>
                <a:t>≈</a:t>
              </a:r>
              <a:r>
                <a:rPr lang="he-IL" sz="1100" b="0" i="0">
                  <a:latin typeface="Cambria Math" panose="02040503050406030204" pitchFamily="18" charset="0"/>
                </a:rPr>
                <a:t>667</a:t>
              </a:r>
              <a:endParaRPr lang="en-US" sz="1100"/>
            </a:p>
          </xdr:txBody>
        </xdr:sp>
      </mc:Fallback>
    </mc:AlternateContent>
    <xdr:clientData/>
  </xdr:oneCellAnchor>
  <xdr:oneCellAnchor>
    <xdr:from>
      <xdr:col>1</xdr:col>
      <xdr:colOff>450850</xdr:colOff>
      <xdr:row>908</xdr:row>
      <xdr:rowOff>196850</xdr:rowOff>
    </xdr:from>
    <xdr:ext cx="3835518" cy="427553"/>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5478E2FC-DDB5-824C-8A65-6B38093C5509}"/>
                </a:ext>
              </a:extLst>
            </xdr:cNvPr>
            <xdr:cNvSpPr txBox="1"/>
          </xdr:nvSpPr>
          <xdr:spPr>
            <a:xfrm>
              <a:off x="13519880132" y="44977050"/>
              <a:ext cx="3835518" cy="4275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he-IL" sz="1100" b="0" i="1">
                            <a:latin typeface="Cambria Math" panose="02040503050406030204" pitchFamily="18" charset="0"/>
                          </a:rPr>
                        </m:ctrlPr>
                      </m:dPr>
                      <m:e>
                        <m:r>
                          <a:rPr lang="he-IL" sz="1100" b="0" i="1">
                            <a:latin typeface="Cambria Math" panose="02040503050406030204" pitchFamily="18" charset="0"/>
                          </a:rPr>
                          <m:t>20</m:t>
                        </m:r>
                        <m:r>
                          <a:rPr lang="en-US" sz="1100" b="0" i="1">
                            <a:latin typeface="Cambria Math" panose="02040503050406030204" pitchFamily="18" charset="0"/>
                          </a:rPr>
                          <m:t>20</m:t>
                        </m:r>
                      </m:e>
                    </m:d>
                    <m:r>
                      <a:rPr lang="en-US" sz="1100" b="0" i="1">
                        <a:latin typeface="Cambria Math" panose="02040503050406030204" pitchFamily="18" charset="0"/>
                      </a:rPr>
                      <m:t>=</m:t>
                    </m:r>
                    <m:d>
                      <m:dPr>
                        <m:ctrlPr>
                          <a:rPr lang="he-IL" sz="1100" b="0" i="1">
                            <a:latin typeface="Cambria Math" panose="02040503050406030204" pitchFamily="18" charset="0"/>
                          </a:rPr>
                        </m:ctrlPr>
                      </m:dPr>
                      <m:e>
                        <m:r>
                          <a:rPr lang="he-IL" sz="1100" b="0" i="1">
                            <a:latin typeface="Cambria Math" panose="02040503050406030204" pitchFamily="18" charset="0"/>
                          </a:rPr>
                          <m:t>5,000</m:t>
                        </m:r>
                        <m:r>
                          <a:rPr lang="en-US" sz="1100" b="0" i="1">
                            <a:latin typeface="Cambria Math" panose="02040503050406030204" pitchFamily="18" charset="0"/>
                          </a:rPr>
                          <m:t>−</m:t>
                        </m:r>
                        <m:r>
                          <a:rPr lang="he-IL" sz="1100" b="0" i="1">
                            <a:latin typeface="Cambria Math" panose="02040503050406030204" pitchFamily="18" charset="0"/>
                          </a:rPr>
                          <m:t>1,000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5</m:t>
                        </m:r>
                        <m:r>
                          <a:rPr lang="he-IL"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9</m:t>
                            </m:r>
                          </m:num>
                          <m:den>
                            <m:r>
                              <a:rPr lang="he-IL" sz="1100" b="0" i="1">
                                <a:latin typeface="Cambria Math" panose="02040503050406030204" pitchFamily="18" charset="0"/>
                              </a:rPr>
                              <m:t>12</m:t>
                            </m:r>
                          </m:den>
                        </m:f>
                      </m:num>
                      <m:den>
                        <m:r>
                          <a:rPr lang="he-IL" sz="1100" b="0" i="1">
                            <a:latin typeface="Cambria Math" panose="02040503050406030204" pitchFamily="18" charset="0"/>
                          </a:rPr>
                          <m:t>36</m:t>
                        </m:r>
                      </m:den>
                    </m:f>
                    <m:r>
                      <a:rPr lang="en-US" sz="1100" b="0" i="1">
                        <a:latin typeface="Cambria Math" panose="02040503050406030204" pitchFamily="18" charset="0"/>
                      </a:rPr>
                      <m:t>≈</m:t>
                    </m:r>
                    <m:r>
                      <a:rPr lang="he-IL" sz="1100" b="0" i="1">
                        <a:latin typeface="Cambria Math" panose="02040503050406030204" pitchFamily="18" charset="0"/>
                      </a:rPr>
                      <m:t>417</m:t>
                    </m:r>
                  </m:oMath>
                </m:oMathPara>
              </a14:m>
              <a:endParaRPr lang="en-US" sz="1100"/>
            </a:p>
          </xdr:txBody>
        </xdr:sp>
      </mc:Choice>
      <mc:Fallback xmlns="">
        <xdr:sp macro="" textlink="">
          <xdr:nvSpPr>
            <xdr:cNvPr id="36" name="TextBox 35">
              <a:extLst>
                <a:ext uri="{FF2B5EF4-FFF2-40B4-BE49-F238E27FC236}">
                  <a16:creationId xmlns:a16="http://schemas.microsoft.com/office/drawing/2014/main" id="{5478E2FC-DDB5-824C-8A65-6B38093C5509}"/>
                </a:ext>
              </a:extLst>
            </xdr:cNvPr>
            <xdr:cNvSpPr txBox="1"/>
          </xdr:nvSpPr>
          <xdr:spPr>
            <a:xfrm>
              <a:off x="13519880132" y="44977050"/>
              <a:ext cx="3835518" cy="4275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a:t>
              </a:r>
              <a:r>
                <a:rPr lang="he-IL" sz="1100" b="0" i="0">
                  <a:latin typeface="Cambria Math" panose="02040503050406030204" pitchFamily="18" charset="0"/>
                </a:rPr>
                <a:t>(20</a:t>
              </a:r>
              <a:r>
                <a:rPr lang="en-US" sz="1100" b="0" i="0">
                  <a:latin typeface="Cambria Math" panose="02040503050406030204" pitchFamily="18" charset="0"/>
                </a:rPr>
                <a:t>20</a:t>
              </a:r>
              <a:r>
                <a:rPr lang="he-IL" sz="1100" b="0" i="0">
                  <a:latin typeface="Cambria Math" panose="02040503050406030204" pitchFamily="18" charset="0"/>
                </a:rPr>
                <a:t>)</a:t>
              </a:r>
              <a:r>
                <a:rPr lang="en-US" sz="1100" b="0" i="0">
                  <a:latin typeface="Cambria Math" panose="02040503050406030204" pitchFamily="18" charset="0"/>
                </a:rPr>
                <a:t>=(</a:t>
              </a:r>
              <a:r>
                <a:rPr lang="he-IL" sz="1100" b="0" i="0">
                  <a:latin typeface="Cambria Math" panose="02040503050406030204" pitchFamily="18" charset="0"/>
                </a:rPr>
                <a:t>5,000</a:t>
              </a:r>
              <a:r>
                <a:rPr lang="en-US" sz="1100" b="0" i="0">
                  <a:latin typeface="Cambria Math" panose="02040503050406030204" pitchFamily="18" charset="0"/>
                </a:rPr>
                <a:t>−</a:t>
              </a:r>
              <a:r>
                <a:rPr lang="he-IL" sz="1100" b="0" i="0">
                  <a:latin typeface="Cambria Math" panose="02040503050406030204" pitchFamily="18" charset="0"/>
                </a:rPr>
                <a:t>1,000</a:t>
              </a:r>
              <a:r>
                <a:rPr lang="en-US" sz="1100" b="0" i="0">
                  <a:latin typeface="Cambria Math" panose="02040503050406030204" pitchFamily="18" charset="0"/>
                </a:rPr>
                <a:t>)∗(5</a:t>
              </a:r>
              <a:r>
                <a:rPr lang="he-IL" sz="1100" b="0" i="0">
                  <a:latin typeface="Cambria Math" panose="02040503050406030204" pitchFamily="18" charset="0"/>
                </a:rPr>
                <a:t>∗9/12</a:t>
              </a:r>
              <a:r>
                <a:rPr lang="en-US" sz="1100" b="0" i="0">
                  <a:latin typeface="Cambria Math" panose="02040503050406030204" pitchFamily="18" charset="0"/>
                </a:rPr>
                <a:t>)/</a:t>
              </a:r>
              <a:r>
                <a:rPr lang="he-IL" sz="1100" b="0" i="0">
                  <a:latin typeface="Cambria Math" panose="02040503050406030204" pitchFamily="18" charset="0"/>
                </a:rPr>
                <a:t>36</a:t>
              </a:r>
              <a:r>
                <a:rPr lang="en-US" sz="1100" b="0" i="0">
                  <a:latin typeface="Cambria Math" panose="02040503050406030204" pitchFamily="18" charset="0"/>
                </a:rPr>
                <a:t>≈</a:t>
              </a:r>
              <a:r>
                <a:rPr lang="he-IL" sz="1100" b="0" i="0">
                  <a:latin typeface="Cambria Math" panose="02040503050406030204" pitchFamily="18" charset="0"/>
                </a:rPr>
                <a:t>417</a:t>
              </a:r>
              <a:endParaRPr lang="en-US" sz="1100"/>
            </a:p>
          </xdr:txBody>
        </xdr:sp>
      </mc:Fallback>
    </mc:AlternateContent>
    <xdr:clientData/>
  </xdr:oneCellAnchor>
  <xdr:twoCellAnchor>
    <xdr:from>
      <xdr:col>2</xdr:col>
      <xdr:colOff>422276</xdr:colOff>
      <xdr:row>872</xdr:row>
      <xdr:rowOff>9524</xdr:rowOff>
    </xdr:from>
    <xdr:to>
      <xdr:col>3</xdr:col>
      <xdr:colOff>450851</xdr:colOff>
      <xdr:row>873</xdr:row>
      <xdr:rowOff>82549</xdr:rowOff>
    </xdr:to>
    <xdr:sp macro="" textlink="">
      <xdr:nvSpPr>
        <xdr:cNvPr id="37" name="Right Bracket 36">
          <a:extLst>
            <a:ext uri="{FF2B5EF4-FFF2-40B4-BE49-F238E27FC236}">
              <a16:creationId xmlns:a16="http://schemas.microsoft.com/office/drawing/2014/main" id="{EC7F843F-F788-234B-812B-9AC3199F6836}"/>
            </a:ext>
          </a:extLst>
        </xdr:cNvPr>
        <xdr:cNvSpPr/>
      </xdr:nvSpPr>
      <xdr:spPr>
        <a:xfrm rot="16200000">
          <a:off x="13522353574" y="36982399"/>
          <a:ext cx="276225" cy="85407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xdr:from>
      <xdr:col>3</xdr:col>
      <xdr:colOff>196850</xdr:colOff>
      <xdr:row>908</xdr:row>
      <xdr:rowOff>63500</xdr:rowOff>
    </xdr:from>
    <xdr:to>
      <xdr:col>3</xdr:col>
      <xdr:colOff>514350</xdr:colOff>
      <xdr:row>909</xdr:row>
      <xdr:rowOff>69850</xdr:rowOff>
    </xdr:to>
    <xdr:cxnSp macro="">
      <xdr:nvCxnSpPr>
        <xdr:cNvPr id="39" name="Straight Arrow Connector 38">
          <a:extLst>
            <a:ext uri="{FF2B5EF4-FFF2-40B4-BE49-F238E27FC236}">
              <a16:creationId xmlns:a16="http://schemas.microsoft.com/office/drawing/2014/main" id="{73D173C1-B305-0B45-89B4-D106B4D95AC1}"/>
            </a:ext>
          </a:extLst>
        </xdr:cNvPr>
        <xdr:cNvCxnSpPr/>
      </xdr:nvCxnSpPr>
      <xdr:spPr>
        <a:xfrm flipH="1" flipV="1">
          <a:off x="13522001150" y="44843700"/>
          <a:ext cx="317500" cy="209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63500</xdr:colOff>
      <xdr:row>908</xdr:row>
      <xdr:rowOff>88900</xdr:rowOff>
    </xdr:from>
    <xdr:to>
      <xdr:col>2</xdr:col>
      <xdr:colOff>622300</xdr:colOff>
      <xdr:row>909</xdr:row>
      <xdr:rowOff>50800</xdr:rowOff>
    </xdr:to>
    <xdr:cxnSp macro="">
      <xdr:nvCxnSpPr>
        <xdr:cNvPr id="40" name="Straight Arrow Connector 39">
          <a:extLst>
            <a:ext uri="{FF2B5EF4-FFF2-40B4-BE49-F238E27FC236}">
              <a16:creationId xmlns:a16="http://schemas.microsoft.com/office/drawing/2014/main" id="{64E77757-7B55-3D42-B0E4-0D3DA610F3B9}"/>
            </a:ext>
          </a:extLst>
        </xdr:cNvPr>
        <xdr:cNvCxnSpPr/>
      </xdr:nvCxnSpPr>
      <xdr:spPr>
        <a:xfrm flipV="1">
          <a:off x="13522718700" y="44869100"/>
          <a:ext cx="558800" cy="165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80381</xdr:colOff>
      <xdr:row>915</xdr:row>
      <xdr:rowOff>150042</xdr:rowOff>
    </xdr:from>
    <xdr:ext cx="3155773" cy="346954"/>
    <mc:AlternateContent xmlns:mc="http://schemas.openxmlformats.org/markup-compatibility/2006" xmlns:a14="http://schemas.microsoft.com/office/drawing/2010/main">
      <mc:Choice Requires="a14">
        <xdr:sp macro="" textlink="">
          <xdr:nvSpPr>
            <xdr:cNvPr id="43" name="TextBox 42">
              <a:extLst>
                <a:ext uri="{FF2B5EF4-FFF2-40B4-BE49-F238E27FC236}">
                  <a16:creationId xmlns:a16="http://schemas.microsoft.com/office/drawing/2014/main" id="{ADB3FC1C-EA1F-7C4C-8828-4B445F535567}"/>
                </a:ext>
              </a:extLst>
            </xdr:cNvPr>
            <xdr:cNvSpPr txBox="1"/>
          </xdr:nvSpPr>
          <xdr:spPr>
            <a:xfrm>
              <a:off x="13515715576" y="46438059"/>
              <a:ext cx="3155773" cy="3469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𝑆𝑈𝑀</m:t>
                    </m:r>
                    <m:r>
                      <a:rPr lang="en-US" sz="1100" b="0" i="1">
                        <a:latin typeface="Cambria Math" panose="02040503050406030204" pitchFamily="18" charset="0"/>
                      </a:rPr>
                      <m:t>(</m:t>
                    </m:r>
                    <m:r>
                      <a:rPr lang="en-US" sz="1100" b="0" i="1">
                        <a:latin typeface="Cambria Math" panose="02040503050406030204" pitchFamily="18" charset="0"/>
                      </a:rPr>
                      <m:t>𝐷</m:t>
                    </m:r>
                    <m:r>
                      <a:rPr lang="en-US" sz="1100" b="0" i="1">
                        <a:latin typeface="Cambria Math" panose="02040503050406030204" pitchFamily="18" charset="0"/>
                      </a:rPr>
                      <m:t>)=</m:t>
                    </m:r>
                    <m:d>
                      <m:dPr>
                        <m:ctrlPr>
                          <a:rPr lang="en-US" sz="1100" b="0" i="1">
                            <a:latin typeface="Cambria Math" panose="02040503050406030204" pitchFamily="18" charset="0"/>
                          </a:rPr>
                        </m:ctrlPr>
                      </m:dPr>
                      <m:e>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0</m:t>
                            </m:r>
                          </m:sub>
                        </m:sSub>
                        <m:r>
                          <a:rPr lang="en-US" sz="1100" b="0" i="1">
                            <a:latin typeface="Cambria Math" panose="02040503050406030204" pitchFamily="18" charset="0"/>
                          </a:rPr>
                          <m:t>−</m:t>
                        </m:r>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𝐺</m:t>
                            </m:r>
                          </m:sub>
                        </m:sSub>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𝐷𝑖𝑔𝑖</m:t>
                        </m:r>
                        <m:sSub>
                          <m:sSubPr>
                            <m:ctrlPr>
                              <a:rPr lang="en-US" sz="1100" b="0" i="1">
                                <a:latin typeface="Cambria Math" panose="02040503050406030204" pitchFamily="18" charset="0"/>
                              </a:rPr>
                            </m:ctrlPr>
                          </m:sSubPr>
                          <m:e>
                            <m:r>
                              <a:rPr lang="en-US" sz="1100" b="0" i="1">
                                <a:latin typeface="Cambria Math" panose="02040503050406030204" pitchFamily="18" charset="0"/>
                              </a:rPr>
                              <m:t>𝑡</m:t>
                            </m:r>
                          </m:e>
                          <m:sub>
                            <m:r>
                              <a:rPr lang="en-US" sz="1100" b="0" i="1">
                                <a:latin typeface="Cambria Math" panose="02040503050406030204" pitchFamily="18" charset="0"/>
                              </a:rPr>
                              <m:t>1</m:t>
                            </m:r>
                          </m:sub>
                        </m:sSub>
                        <m:r>
                          <a:rPr lang="en-US" sz="1100" b="0" i="1">
                            <a:latin typeface="Cambria Math" panose="02040503050406030204" pitchFamily="18" charset="0"/>
                          </a:rPr>
                          <m:t>+</m:t>
                        </m:r>
                        <m:r>
                          <a:rPr lang="en-US" sz="1100" b="0" i="1">
                            <a:latin typeface="Cambria Math" panose="02040503050406030204" pitchFamily="18" charset="0"/>
                          </a:rPr>
                          <m:t>𝐷𝑖𝑔𝑖</m:t>
                        </m:r>
                        <m:sSub>
                          <m:sSubPr>
                            <m:ctrlPr>
                              <a:rPr lang="en-US" sz="1100" b="0" i="1">
                                <a:latin typeface="Cambria Math" panose="02040503050406030204" pitchFamily="18" charset="0"/>
                              </a:rPr>
                            </m:ctrlPr>
                          </m:sSubPr>
                          <m:e>
                            <m:r>
                              <a:rPr lang="en-US" sz="1100" b="0" i="1">
                                <a:latin typeface="Cambria Math" panose="02040503050406030204" pitchFamily="18" charset="0"/>
                              </a:rPr>
                              <m:t>𝑡</m:t>
                            </m:r>
                          </m:e>
                          <m:sub>
                            <m:r>
                              <a:rPr lang="en-US" sz="1100" b="0" i="1">
                                <a:latin typeface="Cambria Math" panose="02040503050406030204" pitchFamily="18" charset="0"/>
                              </a:rPr>
                              <m:t>2</m:t>
                            </m:r>
                          </m:sub>
                        </m:sSub>
                        <m:r>
                          <a:rPr lang="en-US" sz="1100" b="0" i="1">
                            <a:latin typeface="Cambria Math" panose="02040503050406030204" pitchFamily="18" charset="0"/>
                          </a:rPr>
                          <m:t>+…</m:t>
                        </m:r>
                      </m:num>
                      <m:den>
                        <m:r>
                          <a:rPr lang="en-US" sz="1100" b="0" i="1">
                            <a:latin typeface="Cambria Math" panose="02040503050406030204" pitchFamily="18" charset="0"/>
                          </a:rPr>
                          <m:t>𝑆𝑢𝑚</m:t>
                        </m:r>
                        <m:r>
                          <a:rPr lang="en-US" sz="1100" b="0" i="1">
                            <a:latin typeface="Cambria Math" panose="02040503050406030204" pitchFamily="18" charset="0"/>
                          </a:rPr>
                          <m:t>(</m:t>
                        </m:r>
                        <m:r>
                          <a:rPr lang="en-US" sz="1100" b="0" i="1">
                            <a:latin typeface="Cambria Math" panose="02040503050406030204" pitchFamily="18" charset="0"/>
                          </a:rPr>
                          <m:t>𝐷𝑖𝑔𝑖𝑡𝑠</m:t>
                        </m:r>
                        <m:r>
                          <a:rPr lang="en-US" sz="1100" b="0" i="1">
                            <a:latin typeface="Cambria Math" panose="02040503050406030204" pitchFamily="18" charset="0"/>
                          </a:rPr>
                          <m:t>)</m:t>
                        </m:r>
                      </m:den>
                    </m:f>
                  </m:oMath>
                </m:oMathPara>
              </a14:m>
              <a:endParaRPr lang="en-US" sz="1100"/>
            </a:p>
          </xdr:txBody>
        </xdr:sp>
      </mc:Choice>
      <mc:Fallback xmlns="">
        <xdr:sp macro="" textlink="">
          <xdr:nvSpPr>
            <xdr:cNvPr id="43" name="TextBox 42">
              <a:extLst>
                <a:ext uri="{FF2B5EF4-FFF2-40B4-BE49-F238E27FC236}">
                  <a16:creationId xmlns:a16="http://schemas.microsoft.com/office/drawing/2014/main" id="{ADB3FC1C-EA1F-7C4C-8828-4B445F535567}"/>
                </a:ext>
              </a:extLst>
            </xdr:cNvPr>
            <xdr:cNvSpPr txBox="1"/>
          </xdr:nvSpPr>
          <xdr:spPr>
            <a:xfrm>
              <a:off x="13515715576" y="46438059"/>
              <a:ext cx="3155773" cy="3469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𝑆𝑈𝑀(𝐷)=(𝐼_0−𝐼_𝐺 )∗(𝐷𝑖𝑔𝑖𝑡_1+𝐷𝑖𝑔𝑖𝑡_2+…)/(𝑆𝑢𝑚(𝐷𝑖𝑔𝑖𝑡𝑠))</a:t>
              </a:r>
              <a:endParaRPr lang="en-US" sz="1100"/>
            </a:p>
          </xdr:txBody>
        </xdr:sp>
      </mc:Fallback>
    </mc:AlternateContent>
    <xdr:clientData/>
  </xdr:oneCellAnchor>
  <xdr:oneCellAnchor>
    <xdr:from>
      <xdr:col>1</xdr:col>
      <xdr:colOff>493720</xdr:colOff>
      <xdr:row>920</xdr:row>
      <xdr:rowOff>100395</xdr:rowOff>
    </xdr:from>
    <xdr:ext cx="3835518" cy="427553"/>
    <mc:AlternateContent xmlns:mc="http://schemas.openxmlformats.org/markup-compatibility/2006" xmlns:a14="http://schemas.microsoft.com/office/drawing/2010/main">
      <mc:Choice Requires="a14">
        <xdr:sp macro="" textlink="">
          <xdr:nvSpPr>
            <xdr:cNvPr id="44" name="TextBox 43">
              <a:extLst>
                <a:ext uri="{FF2B5EF4-FFF2-40B4-BE49-F238E27FC236}">
                  <a16:creationId xmlns:a16="http://schemas.microsoft.com/office/drawing/2014/main" id="{78D96872-066F-4E46-8DA9-65816293E463}"/>
                </a:ext>
              </a:extLst>
            </xdr:cNvPr>
            <xdr:cNvSpPr txBox="1"/>
          </xdr:nvSpPr>
          <xdr:spPr>
            <a:xfrm>
              <a:off x="13515447724" y="47406555"/>
              <a:ext cx="3835518" cy="4275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𝑆𝑈𝑀</m:t>
                    </m:r>
                    <m:r>
                      <a:rPr lang="en-US" sz="1100" b="0" i="1">
                        <a:latin typeface="Cambria Math" panose="02040503050406030204" pitchFamily="18" charset="0"/>
                      </a:rPr>
                      <m:t>(</m:t>
                    </m:r>
                    <m:sSub>
                      <m:sSubPr>
                        <m:ctrlPr>
                          <a:rPr lang="en-US" sz="1100" b="0" i="1">
                            <a:latin typeface="Cambria Math" panose="02040503050406030204" pitchFamily="18" charset="0"/>
                          </a:rPr>
                        </m:ctrlPr>
                      </m:sSubPr>
                      <m:e>
                        <m:r>
                          <a:rPr lang="en-US" sz="1100" b="0" i="1">
                            <a:latin typeface="Cambria Math" panose="02040503050406030204" pitchFamily="18" charset="0"/>
                          </a:rPr>
                          <m:t>𝐷</m:t>
                        </m:r>
                      </m:e>
                      <m:sub>
                        <m:r>
                          <a:rPr lang="en-US" sz="1100" b="0" i="1">
                            <a:latin typeface="Cambria Math" panose="02040503050406030204" pitchFamily="18" charset="0"/>
                          </a:rPr>
                          <m:t>30.9.2020</m:t>
                        </m:r>
                      </m:sub>
                    </m:sSub>
                    <m:r>
                      <a:rPr lang="en-US" sz="1100" b="0" i="1">
                        <a:latin typeface="Cambria Math" panose="02040503050406030204" pitchFamily="18" charset="0"/>
                      </a:rPr>
                      <m:t>)=</m:t>
                    </m:r>
                    <m:d>
                      <m:dPr>
                        <m:ctrlPr>
                          <a:rPr lang="he-IL" sz="1100" b="0" i="1">
                            <a:latin typeface="Cambria Math" panose="02040503050406030204" pitchFamily="18" charset="0"/>
                          </a:rPr>
                        </m:ctrlPr>
                      </m:dPr>
                      <m:e>
                        <m:r>
                          <a:rPr lang="he-IL" sz="1100" b="0" i="1">
                            <a:latin typeface="Cambria Math" panose="02040503050406030204" pitchFamily="18" charset="0"/>
                          </a:rPr>
                          <m:t>5,000</m:t>
                        </m:r>
                        <m:r>
                          <a:rPr lang="en-US" sz="1100" b="0" i="1">
                            <a:latin typeface="Cambria Math" panose="02040503050406030204" pitchFamily="18" charset="0"/>
                          </a:rPr>
                          <m:t>−</m:t>
                        </m:r>
                        <m:r>
                          <a:rPr lang="he-IL" sz="1100" b="0" i="1">
                            <a:latin typeface="Cambria Math" panose="02040503050406030204" pitchFamily="18" charset="0"/>
                          </a:rPr>
                          <m:t>1,000</m:t>
                        </m:r>
                      </m:e>
                    </m:d>
                    <m:r>
                      <a:rPr lang="en-US" sz="1100" b="0" i="1">
                        <a:latin typeface="Cambria Math" panose="02040503050406030204" pitchFamily="18" charset="0"/>
                      </a:rPr>
                      <m:t>∗</m:t>
                    </m:r>
                    <m:f>
                      <m:fPr>
                        <m:ctrlPr>
                          <a:rPr lang="en-US" sz="1100" b="1" i="1">
                            <a:solidFill>
                              <a:srgbClr val="FF0000"/>
                            </a:solidFill>
                            <a:latin typeface="Cambria Math" panose="02040503050406030204" pitchFamily="18" charset="0"/>
                          </a:rPr>
                        </m:ctrlPr>
                      </m:fPr>
                      <m:num>
                        <m:r>
                          <a:rPr lang="en-US" sz="1100" b="1" i="1">
                            <a:solidFill>
                              <a:srgbClr val="FF0000"/>
                            </a:solidFill>
                            <a:latin typeface="Cambria Math" panose="02040503050406030204" pitchFamily="18" charset="0"/>
                          </a:rPr>
                          <m:t>𝟖</m:t>
                        </m:r>
                        <m:r>
                          <a:rPr lang="en-US" sz="1100" b="1" i="1">
                            <a:solidFill>
                              <a:srgbClr val="FF0000"/>
                            </a:solidFill>
                            <a:latin typeface="Cambria Math" panose="02040503050406030204" pitchFamily="18" charset="0"/>
                          </a:rPr>
                          <m:t>+</m:t>
                        </m:r>
                        <m:r>
                          <a:rPr lang="en-US" sz="1100" b="1" i="1">
                            <a:solidFill>
                              <a:srgbClr val="FF0000"/>
                            </a:solidFill>
                            <a:latin typeface="Cambria Math" panose="02040503050406030204" pitchFamily="18" charset="0"/>
                          </a:rPr>
                          <m:t>𝟕</m:t>
                        </m:r>
                        <m:r>
                          <a:rPr lang="en-US" sz="1100" b="1" i="1">
                            <a:solidFill>
                              <a:srgbClr val="FF0000"/>
                            </a:solidFill>
                            <a:latin typeface="Cambria Math" panose="02040503050406030204" pitchFamily="18" charset="0"/>
                          </a:rPr>
                          <m:t>+</m:t>
                        </m:r>
                        <m:r>
                          <a:rPr lang="en-US" sz="1100" b="1" i="1">
                            <a:solidFill>
                              <a:srgbClr val="FF0000"/>
                            </a:solidFill>
                            <a:latin typeface="Cambria Math" panose="02040503050406030204" pitchFamily="18" charset="0"/>
                          </a:rPr>
                          <m:t>𝟔</m:t>
                        </m:r>
                        <m:r>
                          <a:rPr lang="en-US" sz="1100" b="1" i="1">
                            <a:solidFill>
                              <a:srgbClr val="FF0000"/>
                            </a:solidFill>
                            <a:latin typeface="Cambria Math" panose="02040503050406030204" pitchFamily="18" charset="0"/>
                          </a:rPr>
                          <m:t>+</m:t>
                        </m:r>
                        <m:r>
                          <a:rPr lang="en-US" sz="1100" b="1" i="1">
                            <a:solidFill>
                              <a:srgbClr val="FF0000"/>
                            </a:solidFill>
                            <a:latin typeface="Cambria Math" panose="02040503050406030204" pitchFamily="18" charset="0"/>
                          </a:rPr>
                          <m:t>𝟓</m:t>
                        </m:r>
                        <m:r>
                          <a:rPr lang="en-US" sz="1100" b="1" i="1">
                            <a:solidFill>
                              <a:srgbClr val="FF0000"/>
                            </a:solidFill>
                            <a:latin typeface="Cambria Math" panose="02040503050406030204" pitchFamily="18" charset="0"/>
                          </a:rPr>
                          <m:t>∗</m:t>
                        </m:r>
                        <m:f>
                          <m:fPr>
                            <m:ctrlPr>
                              <a:rPr lang="en-US" sz="1100" b="1" i="1">
                                <a:solidFill>
                                  <a:srgbClr val="FF0000"/>
                                </a:solidFill>
                                <a:latin typeface="Cambria Math" panose="02040503050406030204" pitchFamily="18" charset="0"/>
                              </a:rPr>
                            </m:ctrlPr>
                          </m:fPr>
                          <m:num>
                            <m:r>
                              <a:rPr lang="en-US" sz="1100" b="1" i="1">
                                <a:solidFill>
                                  <a:srgbClr val="FF0000"/>
                                </a:solidFill>
                                <a:latin typeface="Cambria Math" panose="02040503050406030204" pitchFamily="18" charset="0"/>
                              </a:rPr>
                              <m:t>𝟗</m:t>
                            </m:r>
                          </m:num>
                          <m:den>
                            <m:r>
                              <a:rPr lang="en-US" sz="1100" b="1" i="1">
                                <a:solidFill>
                                  <a:srgbClr val="FF0000"/>
                                </a:solidFill>
                                <a:latin typeface="Cambria Math" panose="02040503050406030204" pitchFamily="18" charset="0"/>
                              </a:rPr>
                              <m:t>𝟏𝟐</m:t>
                            </m:r>
                          </m:den>
                        </m:f>
                      </m:num>
                      <m:den>
                        <m:r>
                          <a:rPr lang="he-IL" sz="1100" b="0" i="1">
                            <a:latin typeface="Cambria Math" panose="02040503050406030204" pitchFamily="18" charset="0"/>
                          </a:rPr>
                          <m:t>36</m:t>
                        </m:r>
                      </m:den>
                    </m:f>
                    <m:r>
                      <a:rPr lang="en-US" sz="1100" b="0" i="1">
                        <a:latin typeface="Cambria Math" panose="02040503050406030204" pitchFamily="18" charset="0"/>
                      </a:rPr>
                      <m:t>≈</m:t>
                    </m:r>
                  </m:oMath>
                </m:oMathPara>
              </a14:m>
              <a:endParaRPr lang="en-US" sz="1100"/>
            </a:p>
          </xdr:txBody>
        </xdr:sp>
      </mc:Choice>
      <mc:Fallback xmlns="">
        <xdr:sp macro="" textlink="">
          <xdr:nvSpPr>
            <xdr:cNvPr id="44" name="TextBox 43">
              <a:extLst>
                <a:ext uri="{FF2B5EF4-FFF2-40B4-BE49-F238E27FC236}">
                  <a16:creationId xmlns:a16="http://schemas.microsoft.com/office/drawing/2014/main" id="{78D96872-066F-4E46-8DA9-65816293E463}"/>
                </a:ext>
              </a:extLst>
            </xdr:cNvPr>
            <xdr:cNvSpPr txBox="1"/>
          </xdr:nvSpPr>
          <xdr:spPr>
            <a:xfrm>
              <a:off x="13515447724" y="47406555"/>
              <a:ext cx="3835518" cy="4275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𝑆𝑈𝑀(𝐷_30.9.2020)=(</a:t>
              </a:r>
              <a:r>
                <a:rPr lang="he-IL" sz="1100" b="0" i="0">
                  <a:latin typeface="Cambria Math" panose="02040503050406030204" pitchFamily="18" charset="0"/>
                </a:rPr>
                <a:t>5,000</a:t>
              </a:r>
              <a:r>
                <a:rPr lang="en-US" sz="1100" b="0" i="0">
                  <a:latin typeface="Cambria Math" panose="02040503050406030204" pitchFamily="18" charset="0"/>
                </a:rPr>
                <a:t>−</a:t>
              </a:r>
              <a:r>
                <a:rPr lang="he-IL" sz="1100" b="0" i="0">
                  <a:latin typeface="Cambria Math" panose="02040503050406030204" pitchFamily="18" charset="0"/>
                </a:rPr>
                <a:t>1,000</a:t>
              </a:r>
              <a:r>
                <a:rPr lang="en-US" sz="1100" b="0" i="0">
                  <a:latin typeface="Cambria Math" panose="02040503050406030204" pitchFamily="18" charset="0"/>
                </a:rPr>
                <a:t>)∗(</a:t>
              </a:r>
              <a:r>
                <a:rPr lang="en-US" sz="1100" b="1" i="0">
                  <a:solidFill>
                    <a:srgbClr val="FF0000"/>
                  </a:solidFill>
                  <a:latin typeface="Cambria Math" panose="02040503050406030204" pitchFamily="18" charset="0"/>
                </a:rPr>
                <a:t>𝟖+𝟕+𝟔+𝟓∗𝟗/𝟏𝟐</a:t>
              </a:r>
              <a:r>
                <a:rPr lang="en-US" sz="1100" b="0" i="0">
                  <a:solidFill>
                    <a:srgbClr val="FF0000"/>
                  </a:solidFill>
                  <a:latin typeface="Cambria Math" panose="02040503050406030204" pitchFamily="18" charset="0"/>
                </a:rPr>
                <a:t>)/</a:t>
              </a:r>
              <a:r>
                <a:rPr lang="he-IL" sz="1100" b="0" i="0">
                  <a:latin typeface="Cambria Math" panose="02040503050406030204" pitchFamily="18" charset="0"/>
                </a:rPr>
                <a:t>36</a:t>
              </a:r>
              <a:r>
                <a:rPr lang="en-US" sz="1100" b="0" i="0">
                  <a:latin typeface="Cambria Math" panose="02040503050406030204" pitchFamily="18" charset="0"/>
                </a:rPr>
                <a:t>≈</a:t>
              </a:r>
              <a:endParaRPr lang="en-US" sz="1100"/>
            </a:p>
          </xdr:txBody>
        </xdr:sp>
      </mc:Fallback>
    </mc:AlternateContent>
    <xdr:clientData/>
  </xdr:oneCellAnchor>
  <xdr:oneCellAnchor>
    <xdr:from>
      <xdr:col>3</xdr:col>
      <xdr:colOff>30384</xdr:colOff>
      <xdr:row>961</xdr:row>
      <xdr:rowOff>6077</xdr:rowOff>
    </xdr:from>
    <xdr:ext cx="3155773" cy="346954"/>
    <mc:AlternateContent xmlns:mc="http://schemas.openxmlformats.org/markup-compatibility/2006" xmlns:a14="http://schemas.microsoft.com/office/drawing/2010/main">
      <mc:Choice Requires="a14">
        <xdr:sp macro="" textlink="">
          <xdr:nvSpPr>
            <xdr:cNvPr id="45" name="TextBox 44">
              <a:extLst>
                <a:ext uri="{FF2B5EF4-FFF2-40B4-BE49-F238E27FC236}">
                  <a16:creationId xmlns:a16="http://schemas.microsoft.com/office/drawing/2014/main" id="{4D482879-181B-E644-AC23-0012EE70CC49}"/>
                </a:ext>
              </a:extLst>
            </xdr:cNvPr>
            <xdr:cNvSpPr txBox="1"/>
          </xdr:nvSpPr>
          <xdr:spPr>
            <a:xfrm>
              <a:off x="13534260351" y="54986747"/>
              <a:ext cx="3155773" cy="3469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𝑆𝑈𝑀</m:t>
                    </m:r>
                    <m:r>
                      <a:rPr lang="en-US" sz="1100" b="0" i="1">
                        <a:latin typeface="Cambria Math" panose="02040503050406030204" pitchFamily="18" charset="0"/>
                      </a:rPr>
                      <m:t>(</m:t>
                    </m:r>
                    <m:r>
                      <a:rPr lang="en-US" sz="1100" b="0" i="1">
                        <a:latin typeface="Cambria Math" panose="02040503050406030204" pitchFamily="18" charset="0"/>
                      </a:rPr>
                      <m:t>𝐷</m:t>
                    </m:r>
                    <m:r>
                      <a:rPr lang="en-US" sz="1100" b="0" i="1">
                        <a:latin typeface="Cambria Math" panose="02040503050406030204" pitchFamily="18" charset="0"/>
                      </a:rPr>
                      <m:t>)=</m:t>
                    </m:r>
                    <m:d>
                      <m:dPr>
                        <m:ctrlPr>
                          <a:rPr lang="en-US" sz="1100" b="0" i="1">
                            <a:latin typeface="Cambria Math" panose="02040503050406030204" pitchFamily="18" charset="0"/>
                          </a:rPr>
                        </m:ctrlPr>
                      </m:dPr>
                      <m:e>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0</m:t>
                            </m:r>
                          </m:sub>
                        </m:sSub>
                        <m:r>
                          <a:rPr lang="en-US" sz="1100" b="0" i="1">
                            <a:latin typeface="Cambria Math" panose="02040503050406030204" pitchFamily="18" charset="0"/>
                          </a:rPr>
                          <m:t>−</m:t>
                        </m:r>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𝐺</m:t>
                            </m:r>
                          </m:sub>
                        </m:sSub>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𝐷𝑖𝑔𝑖</m:t>
                        </m:r>
                        <m:sSub>
                          <m:sSubPr>
                            <m:ctrlPr>
                              <a:rPr lang="en-US" sz="1100" b="0" i="1">
                                <a:latin typeface="Cambria Math" panose="02040503050406030204" pitchFamily="18" charset="0"/>
                              </a:rPr>
                            </m:ctrlPr>
                          </m:sSubPr>
                          <m:e>
                            <m:r>
                              <a:rPr lang="en-US" sz="1100" b="0" i="1">
                                <a:latin typeface="Cambria Math" panose="02040503050406030204" pitchFamily="18" charset="0"/>
                              </a:rPr>
                              <m:t>𝑡</m:t>
                            </m:r>
                          </m:e>
                          <m:sub>
                            <m:r>
                              <a:rPr lang="en-US" sz="1100" b="0" i="1">
                                <a:latin typeface="Cambria Math" panose="02040503050406030204" pitchFamily="18" charset="0"/>
                              </a:rPr>
                              <m:t>1</m:t>
                            </m:r>
                          </m:sub>
                        </m:sSub>
                        <m:r>
                          <a:rPr lang="en-US" sz="1100" b="0" i="1">
                            <a:latin typeface="Cambria Math" panose="02040503050406030204" pitchFamily="18" charset="0"/>
                          </a:rPr>
                          <m:t>+</m:t>
                        </m:r>
                        <m:r>
                          <a:rPr lang="en-US" sz="1100" b="0" i="1">
                            <a:latin typeface="Cambria Math" panose="02040503050406030204" pitchFamily="18" charset="0"/>
                          </a:rPr>
                          <m:t>𝐷𝑖𝑔𝑖</m:t>
                        </m:r>
                        <m:sSub>
                          <m:sSubPr>
                            <m:ctrlPr>
                              <a:rPr lang="en-US" sz="1100" b="0" i="1">
                                <a:latin typeface="Cambria Math" panose="02040503050406030204" pitchFamily="18" charset="0"/>
                              </a:rPr>
                            </m:ctrlPr>
                          </m:sSubPr>
                          <m:e>
                            <m:r>
                              <a:rPr lang="en-US" sz="1100" b="0" i="1">
                                <a:latin typeface="Cambria Math" panose="02040503050406030204" pitchFamily="18" charset="0"/>
                              </a:rPr>
                              <m:t>𝑡</m:t>
                            </m:r>
                          </m:e>
                          <m:sub>
                            <m:r>
                              <a:rPr lang="en-US" sz="1100" b="0" i="1">
                                <a:latin typeface="Cambria Math" panose="02040503050406030204" pitchFamily="18" charset="0"/>
                              </a:rPr>
                              <m:t>2</m:t>
                            </m:r>
                          </m:sub>
                        </m:sSub>
                        <m:r>
                          <a:rPr lang="en-US" sz="1100" b="0" i="1">
                            <a:latin typeface="Cambria Math" panose="02040503050406030204" pitchFamily="18" charset="0"/>
                          </a:rPr>
                          <m:t>+…</m:t>
                        </m:r>
                      </m:num>
                      <m:den>
                        <m:r>
                          <a:rPr lang="en-US" sz="1100" b="0" i="1">
                            <a:latin typeface="Cambria Math" panose="02040503050406030204" pitchFamily="18" charset="0"/>
                          </a:rPr>
                          <m:t>𝑆𝑢𝑚</m:t>
                        </m:r>
                        <m:r>
                          <a:rPr lang="en-US" sz="1100" b="0" i="1">
                            <a:latin typeface="Cambria Math" panose="02040503050406030204" pitchFamily="18" charset="0"/>
                          </a:rPr>
                          <m:t>(</m:t>
                        </m:r>
                        <m:r>
                          <a:rPr lang="en-US" sz="1100" b="0" i="1">
                            <a:latin typeface="Cambria Math" panose="02040503050406030204" pitchFamily="18" charset="0"/>
                          </a:rPr>
                          <m:t>𝐷𝑖𝑔𝑖𝑡𝑠</m:t>
                        </m:r>
                        <m:r>
                          <a:rPr lang="en-US" sz="1100" b="0" i="1">
                            <a:latin typeface="Cambria Math" panose="02040503050406030204" pitchFamily="18" charset="0"/>
                          </a:rPr>
                          <m:t>)</m:t>
                        </m:r>
                      </m:den>
                    </m:f>
                  </m:oMath>
                </m:oMathPara>
              </a14:m>
              <a:endParaRPr lang="en-US" sz="1100"/>
            </a:p>
          </xdr:txBody>
        </xdr:sp>
      </mc:Choice>
      <mc:Fallback xmlns="">
        <xdr:sp macro="" textlink="">
          <xdr:nvSpPr>
            <xdr:cNvPr id="45" name="TextBox 44">
              <a:extLst>
                <a:ext uri="{FF2B5EF4-FFF2-40B4-BE49-F238E27FC236}">
                  <a16:creationId xmlns:a16="http://schemas.microsoft.com/office/drawing/2014/main" id="{4D482879-181B-E644-AC23-0012EE70CC49}"/>
                </a:ext>
              </a:extLst>
            </xdr:cNvPr>
            <xdr:cNvSpPr txBox="1"/>
          </xdr:nvSpPr>
          <xdr:spPr>
            <a:xfrm>
              <a:off x="13534260351" y="54986747"/>
              <a:ext cx="3155773" cy="3469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𝑆𝑈𝑀(𝐷)=(𝐼_0−𝐼_𝐺 )∗(𝐷𝑖𝑔𝑖𝑡_1+𝐷𝑖𝑔𝑖𝑡_2+…)/(𝑆𝑢𝑚(𝐷𝑖𝑔𝑖𝑡𝑠))</a:t>
              </a:r>
              <a:endParaRPr lang="en-US" sz="1100"/>
            </a:p>
          </xdr:txBody>
        </xdr:sp>
      </mc:Fallback>
    </mc:AlternateContent>
    <xdr:clientData/>
  </xdr:oneCellAnchor>
  <xdr:oneCellAnchor>
    <xdr:from>
      <xdr:col>2</xdr:col>
      <xdr:colOff>48613</xdr:colOff>
      <xdr:row>963</xdr:row>
      <xdr:rowOff>145838</xdr:rowOff>
    </xdr:from>
    <xdr:ext cx="4231324" cy="427489"/>
    <mc:AlternateContent xmlns:mc="http://schemas.openxmlformats.org/markup-compatibility/2006" xmlns:a14="http://schemas.microsoft.com/office/drawing/2010/main">
      <mc:Choice Requires="a14">
        <xdr:sp macro="" textlink="">
          <xdr:nvSpPr>
            <xdr:cNvPr id="46" name="TextBox 45">
              <a:extLst>
                <a:ext uri="{FF2B5EF4-FFF2-40B4-BE49-F238E27FC236}">
                  <a16:creationId xmlns:a16="http://schemas.microsoft.com/office/drawing/2014/main" id="{27E6B80B-DD19-2942-A3E7-94E18604605D}"/>
                </a:ext>
              </a:extLst>
            </xdr:cNvPr>
            <xdr:cNvSpPr txBox="1"/>
          </xdr:nvSpPr>
          <xdr:spPr>
            <a:xfrm>
              <a:off x="13533992982" y="55527560"/>
              <a:ext cx="4231324" cy="427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𝑆𝑈𝑀</m:t>
                    </m:r>
                    <m:d>
                      <m:dPr>
                        <m:ctrlPr>
                          <a:rPr lang="en-US" sz="1100" b="0" i="1">
                            <a:latin typeface="Cambria Math" panose="02040503050406030204" pitchFamily="18" charset="0"/>
                          </a:rPr>
                        </m:ctrlPr>
                      </m:dPr>
                      <m:e>
                        <m:r>
                          <a:rPr lang="en-US" sz="1100" b="0" i="1">
                            <a:latin typeface="Cambria Math" panose="02040503050406030204" pitchFamily="18" charset="0"/>
                          </a:rPr>
                          <m:t>𝐷</m:t>
                        </m:r>
                      </m:e>
                    </m:d>
                    <m:r>
                      <a:rPr lang="en-US" sz="1100" b="0" i="1">
                        <a:latin typeface="Cambria Math" panose="02040503050406030204" pitchFamily="18" charset="0"/>
                      </a:rPr>
                      <m:t>=</m:t>
                    </m:r>
                    <m:d>
                      <m:dPr>
                        <m:ctrlPr>
                          <a:rPr lang="he-IL" sz="1100" b="0" i="1">
                            <a:latin typeface="Cambria Math" panose="02040503050406030204" pitchFamily="18" charset="0"/>
                          </a:rPr>
                        </m:ctrlPr>
                      </m:dPr>
                      <m:e>
                        <m:r>
                          <a:rPr lang="he-IL" sz="1100" b="0" i="1">
                            <a:latin typeface="Cambria Math" panose="02040503050406030204" pitchFamily="18" charset="0"/>
                          </a:rPr>
                          <m:t>60,000</m:t>
                        </m:r>
                        <m:r>
                          <a:rPr lang="en-US" sz="1100" b="0" i="1">
                            <a:latin typeface="Cambria Math" panose="02040503050406030204" pitchFamily="18" charset="0"/>
                          </a:rPr>
                          <m:t>−</m:t>
                        </m:r>
                        <m:r>
                          <a:rPr lang="he-IL" sz="1100" b="0" i="1">
                            <a:latin typeface="Cambria Math" panose="02040503050406030204" pitchFamily="18" charset="0"/>
                          </a:rPr>
                          <m:t>0</m:t>
                        </m:r>
                      </m:e>
                    </m:d>
                    <m:r>
                      <a:rPr lang="en-US"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1</m:t>
                        </m:r>
                        <m:r>
                          <a:rPr lang="en-US" sz="1100" b="0" i="1">
                            <a:latin typeface="Cambria Math" panose="02040503050406030204" pitchFamily="18" charset="0"/>
                          </a:rPr>
                          <m:t>+</m:t>
                        </m:r>
                        <m:r>
                          <a:rPr lang="he-IL" sz="1100" b="0" i="1">
                            <a:latin typeface="Cambria Math" panose="02040503050406030204" pitchFamily="18" charset="0"/>
                          </a:rPr>
                          <m:t>2</m:t>
                        </m:r>
                        <m:r>
                          <a:rPr lang="en-US" sz="1100" b="0" i="1">
                            <a:latin typeface="Cambria Math" panose="02040503050406030204" pitchFamily="18" charset="0"/>
                          </a:rPr>
                          <m:t>+</m:t>
                        </m:r>
                        <m:r>
                          <a:rPr lang="he-IL" sz="1100" b="0" i="1">
                            <a:latin typeface="Cambria Math" panose="02040503050406030204" pitchFamily="18" charset="0"/>
                          </a:rPr>
                          <m:t>3+4∗</m:t>
                        </m:r>
                        <m:f>
                          <m:fPr>
                            <m:ctrlPr>
                              <a:rPr lang="he-IL" sz="1100" b="0" i="1">
                                <a:latin typeface="Cambria Math" panose="02040503050406030204" pitchFamily="18" charset="0"/>
                              </a:rPr>
                            </m:ctrlPr>
                          </m:fPr>
                          <m:num>
                            <m:r>
                              <a:rPr lang="he-IL" sz="1100" b="0" i="1">
                                <a:latin typeface="Cambria Math" panose="02040503050406030204" pitchFamily="18" charset="0"/>
                              </a:rPr>
                              <m:t>3</m:t>
                            </m:r>
                          </m:num>
                          <m:den>
                            <m:r>
                              <a:rPr lang="he-IL" sz="1100" b="0" i="1">
                                <a:latin typeface="Cambria Math" panose="02040503050406030204" pitchFamily="18" charset="0"/>
                              </a:rPr>
                              <m:t>12</m:t>
                            </m:r>
                          </m:den>
                        </m:f>
                      </m:num>
                      <m:den>
                        <m:r>
                          <a:rPr lang="he-IL" sz="1100" b="0" i="1">
                            <a:latin typeface="Cambria Math" panose="02040503050406030204" pitchFamily="18" charset="0"/>
                          </a:rPr>
                          <m:t>55</m:t>
                        </m:r>
                      </m:den>
                    </m:f>
                    <m:r>
                      <a:rPr lang="he-IL" sz="1100" b="0" i="1">
                        <a:latin typeface="Cambria Math" panose="02040503050406030204" pitchFamily="18" charset="0"/>
                      </a:rPr>
                      <m:t>=7,636</m:t>
                    </m:r>
                  </m:oMath>
                </m:oMathPara>
              </a14:m>
              <a:endParaRPr lang="en-US" sz="1100"/>
            </a:p>
          </xdr:txBody>
        </xdr:sp>
      </mc:Choice>
      <mc:Fallback xmlns="">
        <xdr:sp macro="" textlink="">
          <xdr:nvSpPr>
            <xdr:cNvPr id="46" name="TextBox 45">
              <a:extLst>
                <a:ext uri="{FF2B5EF4-FFF2-40B4-BE49-F238E27FC236}">
                  <a16:creationId xmlns:a16="http://schemas.microsoft.com/office/drawing/2014/main" id="{27E6B80B-DD19-2942-A3E7-94E18604605D}"/>
                </a:ext>
              </a:extLst>
            </xdr:cNvPr>
            <xdr:cNvSpPr txBox="1"/>
          </xdr:nvSpPr>
          <xdr:spPr>
            <a:xfrm>
              <a:off x="13533992982" y="55527560"/>
              <a:ext cx="4231324" cy="427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𝑆𝑈𝑀(𝐷)=(</a:t>
              </a:r>
              <a:r>
                <a:rPr lang="he-IL" sz="1100" b="0" i="0">
                  <a:latin typeface="Cambria Math" panose="02040503050406030204" pitchFamily="18" charset="0"/>
                </a:rPr>
                <a:t>60,000</a:t>
              </a:r>
              <a:r>
                <a:rPr lang="en-US" sz="1100" b="0" i="0">
                  <a:latin typeface="Cambria Math" panose="02040503050406030204" pitchFamily="18" charset="0"/>
                </a:rPr>
                <a:t>−</a:t>
              </a:r>
              <a:r>
                <a:rPr lang="he-IL" sz="1100" b="0" i="0">
                  <a:latin typeface="Cambria Math" panose="02040503050406030204" pitchFamily="18" charset="0"/>
                </a:rPr>
                <a:t>0</a:t>
              </a:r>
              <a:r>
                <a:rPr lang="en-US" sz="1100" b="0" i="0">
                  <a:latin typeface="Cambria Math" panose="02040503050406030204" pitchFamily="18" charset="0"/>
                </a:rPr>
                <a:t>)∗(</a:t>
              </a:r>
              <a:r>
                <a:rPr lang="he-IL" sz="1100" b="0" i="0">
                  <a:latin typeface="Cambria Math" panose="02040503050406030204" pitchFamily="18" charset="0"/>
                </a:rPr>
                <a:t>1</a:t>
              </a:r>
              <a:r>
                <a:rPr lang="en-US" sz="1100" b="0" i="0">
                  <a:latin typeface="Cambria Math" panose="02040503050406030204" pitchFamily="18" charset="0"/>
                </a:rPr>
                <a:t>+</a:t>
              </a:r>
              <a:r>
                <a:rPr lang="he-IL" sz="1100" b="0" i="0">
                  <a:latin typeface="Cambria Math" panose="02040503050406030204" pitchFamily="18" charset="0"/>
                </a:rPr>
                <a:t>2</a:t>
              </a:r>
              <a:r>
                <a:rPr lang="en-US" sz="1100" b="0" i="0">
                  <a:latin typeface="Cambria Math" panose="02040503050406030204" pitchFamily="18" charset="0"/>
                </a:rPr>
                <a:t>+</a:t>
              </a:r>
              <a:r>
                <a:rPr lang="he-IL" sz="1100" b="0" i="0">
                  <a:latin typeface="Cambria Math" panose="02040503050406030204" pitchFamily="18" charset="0"/>
                </a:rPr>
                <a:t>3+4∗3/12</a:t>
              </a:r>
              <a:r>
                <a:rPr lang="en-US" sz="1100" b="0" i="0">
                  <a:latin typeface="Cambria Math" panose="02040503050406030204" pitchFamily="18" charset="0"/>
                </a:rPr>
                <a:t>)/</a:t>
              </a:r>
              <a:r>
                <a:rPr lang="he-IL" sz="1100" b="0" i="0">
                  <a:latin typeface="Cambria Math" panose="02040503050406030204" pitchFamily="18" charset="0"/>
                </a:rPr>
                <a:t>55=7,636</a:t>
              </a:r>
              <a:endParaRPr lang="en-US" sz="1100"/>
            </a:p>
          </xdr:txBody>
        </xdr:sp>
      </mc:Fallback>
    </mc:AlternateContent>
    <xdr:clientData/>
  </xdr:oneCellAnchor>
  <xdr:twoCellAnchor editAs="oneCell">
    <xdr:from>
      <xdr:col>8</xdr:col>
      <xdr:colOff>128836</xdr:colOff>
      <xdr:row>657</xdr:row>
      <xdr:rowOff>47005</xdr:rowOff>
    </xdr:from>
    <xdr:to>
      <xdr:col>11</xdr:col>
      <xdr:colOff>49287</xdr:colOff>
      <xdr:row>669</xdr:row>
      <xdr:rowOff>7697</xdr:rowOff>
    </xdr:to>
    <xdr:pic>
      <xdr:nvPicPr>
        <xdr:cNvPr id="2" name="Picture 1" descr="Mouth Wide Open Stickers for Sale | Redbubble">
          <a:extLst>
            <a:ext uri="{FF2B5EF4-FFF2-40B4-BE49-F238E27FC236}">
              <a16:creationId xmlns:a16="http://schemas.microsoft.com/office/drawing/2014/main" id="{B38634E4-1C36-76EA-11BE-391949985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7367834" y="13736066"/>
          <a:ext cx="2402724" cy="2408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201878</xdr:colOff>
      <xdr:row>692</xdr:row>
      <xdr:rowOff>113786</xdr:rowOff>
    </xdr:from>
    <xdr:to>
      <xdr:col>9</xdr:col>
      <xdr:colOff>590954</xdr:colOff>
      <xdr:row>692</xdr:row>
      <xdr:rowOff>128468</xdr:rowOff>
    </xdr:to>
    <xdr:cxnSp macro="">
      <xdr:nvCxnSpPr>
        <xdr:cNvPr id="4" name="Straight Arrow Connector 3">
          <a:extLst>
            <a:ext uri="{FF2B5EF4-FFF2-40B4-BE49-F238E27FC236}">
              <a16:creationId xmlns:a16="http://schemas.microsoft.com/office/drawing/2014/main" id="{0446F882-C45E-E431-F186-7722EA3FFA7D}"/>
            </a:ext>
          </a:extLst>
        </xdr:cNvPr>
        <xdr:cNvCxnSpPr/>
      </xdr:nvCxnSpPr>
      <xdr:spPr>
        <a:xfrm flipV="1">
          <a:off x="13522982023" y="15485925"/>
          <a:ext cx="7821879" cy="14682"/>
        </a:xfrm>
        <a:prstGeom prst="straightConnector1">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oneCellAnchor>
    <xdr:from>
      <xdr:col>8</xdr:col>
      <xdr:colOff>183527</xdr:colOff>
      <xdr:row>691</xdr:row>
      <xdr:rowOff>133755</xdr:rowOff>
    </xdr:from>
    <xdr:ext cx="1615477" cy="172227"/>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5E1FE371-DD9E-E144-D1F6-DD679C72815E}"/>
                </a:ext>
              </a:extLst>
            </xdr:cNvPr>
            <xdr:cNvSpPr txBox="1"/>
          </xdr:nvSpPr>
          <xdr:spPr>
            <a:xfrm>
              <a:off x="13522599840" y="15304015"/>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1.9.2018</m:t>
                    </m:r>
                  </m:oMath>
                </m:oMathPara>
              </a14:m>
              <a:endParaRPr lang="en-US" sz="1100"/>
            </a:p>
          </xdr:txBody>
        </xdr:sp>
      </mc:Choice>
      <mc:Fallback xmlns="">
        <xdr:sp macro="" textlink="">
          <xdr:nvSpPr>
            <xdr:cNvPr id="6" name="TextBox 5">
              <a:extLst>
                <a:ext uri="{FF2B5EF4-FFF2-40B4-BE49-F238E27FC236}">
                  <a16:creationId xmlns:a16="http://schemas.microsoft.com/office/drawing/2014/main" id="{5E1FE371-DD9E-E144-D1F6-DD679C72815E}"/>
                </a:ext>
              </a:extLst>
            </xdr:cNvPr>
            <xdr:cNvSpPr txBox="1"/>
          </xdr:nvSpPr>
          <xdr:spPr>
            <a:xfrm>
              <a:off x="13522599840" y="15304015"/>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1.9.2018</a:t>
              </a:r>
              <a:endParaRPr lang="en-US" sz="1100"/>
            </a:p>
          </xdr:txBody>
        </xdr:sp>
      </mc:Fallback>
    </mc:AlternateContent>
    <xdr:clientData/>
  </xdr:oneCellAnchor>
  <xdr:oneCellAnchor>
    <xdr:from>
      <xdr:col>6</xdr:col>
      <xdr:colOff>403757</xdr:colOff>
      <xdr:row>691</xdr:row>
      <xdr:rowOff>159445</xdr:rowOff>
    </xdr:from>
    <xdr:ext cx="1615477" cy="172227"/>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D48A05C7-AF8F-E1DE-4463-D6339D7C958B}"/>
                </a:ext>
              </a:extLst>
            </xdr:cNvPr>
            <xdr:cNvSpPr txBox="1"/>
          </xdr:nvSpPr>
          <xdr:spPr>
            <a:xfrm>
              <a:off x="13524031344" y="15329705"/>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1.9.2019</m:t>
                    </m:r>
                  </m:oMath>
                </m:oMathPara>
              </a14:m>
              <a:endParaRPr lang="en-US" sz="1100"/>
            </a:p>
          </xdr:txBody>
        </xdr:sp>
      </mc:Choice>
      <mc:Fallback xmlns="">
        <xdr:sp macro="" textlink="">
          <xdr:nvSpPr>
            <xdr:cNvPr id="7" name="TextBox 6">
              <a:extLst>
                <a:ext uri="{FF2B5EF4-FFF2-40B4-BE49-F238E27FC236}">
                  <a16:creationId xmlns:a16="http://schemas.microsoft.com/office/drawing/2014/main" id="{D48A05C7-AF8F-E1DE-4463-D6339D7C958B}"/>
                </a:ext>
              </a:extLst>
            </xdr:cNvPr>
            <xdr:cNvSpPr txBox="1"/>
          </xdr:nvSpPr>
          <xdr:spPr>
            <a:xfrm>
              <a:off x="13524031344" y="15329705"/>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1.9.2019</a:t>
              </a:r>
              <a:endParaRPr lang="en-US" sz="1100"/>
            </a:p>
          </xdr:txBody>
        </xdr:sp>
      </mc:Fallback>
    </mc:AlternateContent>
    <xdr:clientData/>
  </xdr:oneCellAnchor>
  <xdr:oneCellAnchor>
    <xdr:from>
      <xdr:col>4</xdr:col>
      <xdr:colOff>429452</xdr:colOff>
      <xdr:row>691</xdr:row>
      <xdr:rowOff>122744</xdr:rowOff>
    </xdr:from>
    <xdr:ext cx="1615477" cy="172227"/>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E300D02C-89C2-20F3-D7FF-91C626ED0498}"/>
                </a:ext>
              </a:extLst>
            </xdr:cNvPr>
            <xdr:cNvSpPr txBox="1"/>
          </xdr:nvSpPr>
          <xdr:spPr>
            <a:xfrm>
              <a:off x="13525657383" y="15293004"/>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1.9.2020</m:t>
                    </m:r>
                  </m:oMath>
                </m:oMathPara>
              </a14:m>
              <a:endParaRPr lang="en-US" sz="1100"/>
            </a:p>
          </xdr:txBody>
        </xdr:sp>
      </mc:Choice>
      <mc:Fallback xmlns="">
        <xdr:sp macro="" textlink="">
          <xdr:nvSpPr>
            <xdr:cNvPr id="8" name="TextBox 7">
              <a:extLst>
                <a:ext uri="{FF2B5EF4-FFF2-40B4-BE49-F238E27FC236}">
                  <a16:creationId xmlns:a16="http://schemas.microsoft.com/office/drawing/2014/main" id="{E300D02C-89C2-20F3-D7FF-91C626ED0498}"/>
                </a:ext>
              </a:extLst>
            </xdr:cNvPr>
            <xdr:cNvSpPr txBox="1"/>
          </xdr:nvSpPr>
          <xdr:spPr>
            <a:xfrm>
              <a:off x="13525657383" y="15293004"/>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1.9.2020</a:t>
              </a:r>
              <a:endParaRPr lang="en-US" sz="1100"/>
            </a:p>
          </xdr:txBody>
        </xdr:sp>
      </mc:Fallback>
    </mc:AlternateContent>
    <xdr:clientData/>
  </xdr:oneCellAnchor>
  <xdr:oneCellAnchor>
    <xdr:from>
      <xdr:col>2</xdr:col>
      <xdr:colOff>411099</xdr:colOff>
      <xdr:row>691</xdr:row>
      <xdr:rowOff>122742</xdr:rowOff>
    </xdr:from>
    <xdr:ext cx="1615477" cy="172227"/>
    <mc:AlternateContent xmlns:mc="http://schemas.openxmlformats.org/markup-compatibility/2006" xmlns:a14="http://schemas.microsoft.com/office/drawing/2010/main">
      <mc:Choice Requires="a14">
        <xdr:sp macro="" textlink="">
          <xdr:nvSpPr>
            <xdr:cNvPr id="13" name="TextBox 12">
              <a:extLst>
                <a:ext uri="{FF2B5EF4-FFF2-40B4-BE49-F238E27FC236}">
                  <a16:creationId xmlns:a16="http://schemas.microsoft.com/office/drawing/2014/main" id="{3AE8CFCA-05D2-FCB0-6CF6-29055AC236DE}"/>
                </a:ext>
              </a:extLst>
            </xdr:cNvPr>
            <xdr:cNvSpPr txBox="1"/>
          </xdr:nvSpPr>
          <xdr:spPr>
            <a:xfrm>
              <a:off x="13527327470" y="15293002"/>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1.9.2021</m:t>
                    </m:r>
                  </m:oMath>
                </m:oMathPara>
              </a14:m>
              <a:endParaRPr lang="en-US" sz="1100"/>
            </a:p>
          </xdr:txBody>
        </xdr:sp>
      </mc:Choice>
      <mc:Fallback xmlns="">
        <xdr:sp macro="" textlink="">
          <xdr:nvSpPr>
            <xdr:cNvPr id="13" name="TextBox 12">
              <a:extLst>
                <a:ext uri="{FF2B5EF4-FFF2-40B4-BE49-F238E27FC236}">
                  <a16:creationId xmlns:a16="http://schemas.microsoft.com/office/drawing/2014/main" id="{3AE8CFCA-05D2-FCB0-6CF6-29055AC236DE}"/>
                </a:ext>
              </a:extLst>
            </xdr:cNvPr>
            <xdr:cNvSpPr txBox="1"/>
          </xdr:nvSpPr>
          <xdr:spPr>
            <a:xfrm>
              <a:off x="13527327470" y="15293002"/>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1.9.2021</a:t>
              </a:r>
              <a:endParaRPr lang="en-US" sz="1100"/>
            </a:p>
          </xdr:txBody>
        </xdr:sp>
      </mc:Fallback>
    </mc:AlternateContent>
    <xdr:clientData/>
  </xdr:oneCellAnchor>
  <xdr:oneCellAnchor>
    <xdr:from>
      <xdr:col>0</xdr:col>
      <xdr:colOff>341360</xdr:colOff>
      <xdr:row>691</xdr:row>
      <xdr:rowOff>126414</xdr:rowOff>
    </xdr:from>
    <xdr:ext cx="1615477" cy="172227"/>
    <mc:AlternateContent xmlns:mc="http://schemas.openxmlformats.org/markup-compatibility/2006" xmlns:a14="http://schemas.microsoft.com/office/drawing/2010/main">
      <mc:Choice Requires="a14">
        <xdr:sp macro="" textlink="">
          <xdr:nvSpPr>
            <xdr:cNvPr id="22" name="TextBox 21">
              <a:extLst>
                <a:ext uri="{FF2B5EF4-FFF2-40B4-BE49-F238E27FC236}">
                  <a16:creationId xmlns:a16="http://schemas.microsoft.com/office/drawing/2014/main" id="{849C6038-9050-BC44-6E7B-54F8B3C2754E}"/>
                </a:ext>
              </a:extLst>
            </xdr:cNvPr>
            <xdr:cNvSpPr txBox="1"/>
          </xdr:nvSpPr>
          <xdr:spPr>
            <a:xfrm>
              <a:off x="13529048943" y="15296674"/>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1.9.2022</m:t>
                    </m:r>
                  </m:oMath>
                </m:oMathPara>
              </a14:m>
              <a:endParaRPr lang="en-US" sz="1100"/>
            </a:p>
          </xdr:txBody>
        </xdr:sp>
      </mc:Choice>
      <mc:Fallback xmlns="">
        <xdr:sp macro="" textlink="">
          <xdr:nvSpPr>
            <xdr:cNvPr id="22" name="TextBox 21">
              <a:extLst>
                <a:ext uri="{FF2B5EF4-FFF2-40B4-BE49-F238E27FC236}">
                  <a16:creationId xmlns:a16="http://schemas.microsoft.com/office/drawing/2014/main" id="{849C6038-9050-BC44-6E7B-54F8B3C2754E}"/>
                </a:ext>
              </a:extLst>
            </xdr:cNvPr>
            <xdr:cNvSpPr txBox="1"/>
          </xdr:nvSpPr>
          <xdr:spPr>
            <a:xfrm>
              <a:off x="13529048943" y="15296674"/>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1.9.2022</a:t>
              </a:r>
              <a:endParaRPr lang="en-US" sz="1100"/>
            </a:p>
          </xdr:txBody>
        </xdr:sp>
      </mc:Fallback>
    </mc:AlternateContent>
    <xdr:clientData/>
  </xdr:oneCellAnchor>
  <xdr:twoCellAnchor>
    <xdr:from>
      <xdr:col>7</xdr:col>
      <xdr:colOff>341358</xdr:colOff>
      <xdr:row>690</xdr:row>
      <xdr:rowOff>152326</xdr:rowOff>
    </xdr:from>
    <xdr:to>
      <xdr:col>9</xdr:col>
      <xdr:colOff>155998</xdr:colOff>
      <xdr:row>691</xdr:row>
      <xdr:rowOff>91763</xdr:rowOff>
    </xdr:to>
    <xdr:sp macro="" textlink="">
      <xdr:nvSpPr>
        <xdr:cNvPr id="25" name="Right Bracket 24">
          <a:extLst>
            <a:ext uri="{FF2B5EF4-FFF2-40B4-BE49-F238E27FC236}">
              <a16:creationId xmlns:a16="http://schemas.microsoft.com/office/drawing/2014/main" id="{DF3E5B0B-6FD6-DEA6-CB68-5D66DA1F1ADF}"/>
            </a:ext>
          </a:extLst>
        </xdr:cNvPr>
        <xdr:cNvSpPr/>
      </xdr:nvSpPr>
      <xdr:spPr>
        <a:xfrm rot="16200000">
          <a:off x="13524079508" y="14458179"/>
          <a:ext cx="141315" cy="1466374"/>
        </a:xfrm>
        <a:prstGeom prst="rightBracket">
          <a:avLst/>
        </a:prstGeom>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r" rtl="1"/>
          <a:endParaRPr lang="en-US" sz="1100"/>
        </a:p>
      </xdr:txBody>
    </xdr:sp>
    <xdr:clientData/>
  </xdr:twoCellAnchor>
  <xdr:oneCellAnchor>
    <xdr:from>
      <xdr:col>7</xdr:col>
      <xdr:colOff>253714</xdr:colOff>
      <xdr:row>689</xdr:row>
      <xdr:rowOff>155774</xdr:rowOff>
    </xdr:from>
    <xdr:ext cx="1615477" cy="172227"/>
    <mc:AlternateContent xmlns:mc="http://schemas.openxmlformats.org/markup-compatibility/2006" xmlns:a14="http://schemas.microsoft.com/office/drawing/2010/main">
      <mc:Choice Requires="a14">
        <xdr:sp macro="" textlink="">
          <xdr:nvSpPr>
            <xdr:cNvPr id="27" name="TextBox 26">
              <a:extLst>
                <a:ext uri="{FF2B5EF4-FFF2-40B4-BE49-F238E27FC236}">
                  <a16:creationId xmlns:a16="http://schemas.microsoft.com/office/drawing/2014/main" id="{3DFE0024-125B-2640-99C6-0061FF9A7C77}"/>
                </a:ext>
              </a:extLst>
            </xdr:cNvPr>
            <xdr:cNvSpPr txBox="1"/>
          </xdr:nvSpPr>
          <xdr:spPr>
            <a:xfrm>
              <a:off x="13523355520" y="14922277"/>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20</m:t>
                    </m:r>
                  </m:oMath>
                </m:oMathPara>
              </a14:m>
              <a:endParaRPr lang="en-US" sz="1100"/>
            </a:p>
          </xdr:txBody>
        </xdr:sp>
      </mc:Choice>
      <mc:Fallback xmlns="">
        <xdr:sp macro="" textlink="">
          <xdr:nvSpPr>
            <xdr:cNvPr id="27" name="TextBox 26">
              <a:extLst>
                <a:ext uri="{FF2B5EF4-FFF2-40B4-BE49-F238E27FC236}">
                  <a16:creationId xmlns:a16="http://schemas.microsoft.com/office/drawing/2014/main" id="{3DFE0024-125B-2640-99C6-0061FF9A7C77}"/>
                </a:ext>
              </a:extLst>
            </xdr:cNvPr>
            <xdr:cNvSpPr txBox="1"/>
          </xdr:nvSpPr>
          <xdr:spPr>
            <a:xfrm>
              <a:off x="13523355520" y="14922277"/>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20</a:t>
              </a:r>
              <a:endParaRPr lang="en-US" sz="1100"/>
            </a:p>
          </xdr:txBody>
        </xdr:sp>
      </mc:Fallback>
    </mc:AlternateContent>
    <xdr:clientData/>
  </xdr:oneCellAnchor>
  <xdr:twoCellAnchor>
    <xdr:from>
      <xdr:col>5</xdr:col>
      <xdr:colOff>480837</xdr:colOff>
      <xdr:row>690</xdr:row>
      <xdr:rowOff>155996</xdr:rowOff>
    </xdr:from>
    <xdr:to>
      <xdr:col>7</xdr:col>
      <xdr:colOff>295477</xdr:colOff>
      <xdr:row>691</xdr:row>
      <xdr:rowOff>95433</xdr:rowOff>
    </xdr:to>
    <xdr:sp macro="" textlink="">
      <xdr:nvSpPr>
        <xdr:cNvPr id="28" name="Right Bracket 27">
          <a:extLst>
            <a:ext uri="{FF2B5EF4-FFF2-40B4-BE49-F238E27FC236}">
              <a16:creationId xmlns:a16="http://schemas.microsoft.com/office/drawing/2014/main" id="{2D28854B-D5BD-ECBC-31E0-DF43590510E4}"/>
            </a:ext>
          </a:extLst>
        </xdr:cNvPr>
        <xdr:cNvSpPr/>
      </xdr:nvSpPr>
      <xdr:spPr>
        <a:xfrm rot="16200000">
          <a:off x="13525591763" y="14461849"/>
          <a:ext cx="141315" cy="1466374"/>
        </a:xfrm>
        <a:prstGeom prst="rightBracket">
          <a:avLst/>
        </a:prstGeom>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r" rtl="1"/>
          <a:endParaRPr lang="en-US" sz="1100"/>
        </a:p>
      </xdr:txBody>
    </xdr:sp>
    <xdr:clientData/>
  </xdr:twoCellAnchor>
  <xdr:oneCellAnchor>
    <xdr:from>
      <xdr:col>5</xdr:col>
      <xdr:colOff>422558</xdr:colOff>
      <xdr:row>689</xdr:row>
      <xdr:rowOff>137421</xdr:rowOff>
    </xdr:from>
    <xdr:ext cx="1615477" cy="172227"/>
    <mc:AlternateContent xmlns:mc="http://schemas.openxmlformats.org/markup-compatibility/2006" xmlns:a14="http://schemas.microsoft.com/office/drawing/2010/main">
      <mc:Choice Requires="a14">
        <xdr:sp macro="" textlink="">
          <xdr:nvSpPr>
            <xdr:cNvPr id="30" name="TextBox 29">
              <a:extLst>
                <a:ext uri="{FF2B5EF4-FFF2-40B4-BE49-F238E27FC236}">
                  <a16:creationId xmlns:a16="http://schemas.microsoft.com/office/drawing/2014/main" id="{4D9B9DA7-74B6-D296-BF91-B1693DACB023}"/>
                </a:ext>
              </a:extLst>
            </xdr:cNvPr>
            <xdr:cNvSpPr txBox="1"/>
          </xdr:nvSpPr>
          <xdr:spPr>
            <a:xfrm>
              <a:off x="13524838410" y="14903924"/>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19</m:t>
                    </m:r>
                  </m:oMath>
                </m:oMathPara>
              </a14:m>
              <a:endParaRPr lang="en-US" sz="1100"/>
            </a:p>
          </xdr:txBody>
        </xdr:sp>
      </mc:Choice>
      <mc:Fallback xmlns="">
        <xdr:sp macro="" textlink="">
          <xdr:nvSpPr>
            <xdr:cNvPr id="30" name="TextBox 29">
              <a:extLst>
                <a:ext uri="{FF2B5EF4-FFF2-40B4-BE49-F238E27FC236}">
                  <a16:creationId xmlns:a16="http://schemas.microsoft.com/office/drawing/2014/main" id="{4D9B9DA7-74B6-D296-BF91-B1693DACB023}"/>
                </a:ext>
              </a:extLst>
            </xdr:cNvPr>
            <xdr:cNvSpPr txBox="1"/>
          </xdr:nvSpPr>
          <xdr:spPr>
            <a:xfrm>
              <a:off x="13524838410" y="14903924"/>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19</a:t>
              </a:r>
              <a:endParaRPr lang="en-US" sz="1100"/>
            </a:p>
          </xdr:txBody>
        </xdr:sp>
      </mc:Fallback>
    </mc:AlternateContent>
    <xdr:clientData/>
  </xdr:oneCellAnchor>
  <xdr:twoCellAnchor>
    <xdr:from>
      <xdr:col>3</xdr:col>
      <xdr:colOff>539564</xdr:colOff>
      <xdr:row>690</xdr:row>
      <xdr:rowOff>141314</xdr:rowOff>
    </xdr:from>
    <xdr:to>
      <xdr:col>5</xdr:col>
      <xdr:colOff>354204</xdr:colOff>
      <xdr:row>691</xdr:row>
      <xdr:rowOff>80751</xdr:rowOff>
    </xdr:to>
    <xdr:sp macro="" textlink="">
      <xdr:nvSpPr>
        <xdr:cNvPr id="31" name="Right Bracket 30">
          <a:extLst>
            <a:ext uri="{FF2B5EF4-FFF2-40B4-BE49-F238E27FC236}">
              <a16:creationId xmlns:a16="http://schemas.microsoft.com/office/drawing/2014/main" id="{3F2CC9F2-7694-98DB-6B46-B2336C3E3241}"/>
            </a:ext>
          </a:extLst>
        </xdr:cNvPr>
        <xdr:cNvSpPr/>
      </xdr:nvSpPr>
      <xdr:spPr>
        <a:xfrm rot="16200000">
          <a:off x="13527184770" y="14447167"/>
          <a:ext cx="141315" cy="1466374"/>
        </a:xfrm>
        <a:prstGeom prst="rightBracket">
          <a:avLst/>
        </a:prstGeom>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r" rtl="1"/>
          <a:endParaRPr lang="en-US" sz="1100"/>
        </a:p>
      </xdr:txBody>
    </xdr:sp>
    <xdr:clientData/>
  </xdr:twoCellAnchor>
  <xdr:twoCellAnchor>
    <xdr:from>
      <xdr:col>1</xdr:col>
      <xdr:colOff>381731</xdr:colOff>
      <xdr:row>690</xdr:row>
      <xdr:rowOff>130303</xdr:rowOff>
    </xdr:from>
    <xdr:to>
      <xdr:col>3</xdr:col>
      <xdr:colOff>368885</xdr:colOff>
      <xdr:row>691</xdr:row>
      <xdr:rowOff>33034</xdr:rowOff>
    </xdr:to>
    <xdr:sp macro="" textlink="">
      <xdr:nvSpPr>
        <xdr:cNvPr id="35" name="Right Bracket 34">
          <a:extLst>
            <a:ext uri="{FF2B5EF4-FFF2-40B4-BE49-F238E27FC236}">
              <a16:creationId xmlns:a16="http://schemas.microsoft.com/office/drawing/2014/main" id="{CEBA50B3-8107-09DE-2C62-751336C3EC0A}"/>
            </a:ext>
          </a:extLst>
        </xdr:cNvPr>
        <xdr:cNvSpPr/>
      </xdr:nvSpPr>
      <xdr:spPr>
        <a:xfrm rot="16200000">
          <a:off x="13528926433" y="14331546"/>
          <a:ext cx="104609" cy="1638888"/>
        </a:xfrm>
        <a:prstGeom prst="rightBracket">
          <a:avLst/>
        </a:prstGeom>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r" rtl="1"/>
          <a:endParaRPr lang="en-US" sz="1100"/>
        </a:p>
      </xdr:txBody>
    </xdr:sp>
    <xdr:clientData/>
  </xdr:twoCellAnchor>
  <xdr:oneCellAnchor>
    <xdr:from>
      <xdr:col>3</xdr:col>
      <xdr:colOff>488627</xdr:colOff>
      <xdr:row>689</xdr:row>
      <xdr:rowOff>126410</xdr:rowOff>
    </xdr:from>
    <xdr:ext cx="1615477" cy="172227"/>
    <mc:AlternateContent xmlns:mc="http://schemas.openxmlformats.org/markup-compatibility/2006" xmlns:a14="http://schemas.microsoft.com/office/drawing/2010/main">
      <mc:Choice Requires="a14">
        <xdr:sp macro="" textlink="">
          <xdr:nvSpPr>
            <xdr:cNvPr id="38" name="TextBox 37">
              <a:extLst>
                <a:ext uri="{FF2B5EF4-FFF2-40B4-BE49-F238E27FC236}">
                  <a16:creationId xmlns:a16="http://schemas.microsoft.com/office/drawing/2014/main" id="{57C1F037-A38C-835B-7A1F-DDD2417CDD10}"/>
                </a:ext>
              </a:extLst>
            </xdr:cNvPr>
            <xdr:cNvSpPr txBox="1"/>
          </xdr:nvSpPr>
          <xdr:spPr>
            <a:xfrm>
              <a:off x="13526424075" y="14892913"/>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18</m:t>
                    </m:r>
                  </m:oMath>
                </m:oMathPara>
              </a14:m>
              <a:endParaRPr lang="en-US" sz="1100"/>
            </a:p>
          </xdr:txBody>
        </xdr:sp>
      </mc:Choice>
      <mc:Fallback xmlns="">
        <xdr:sp macro="" textlink="">
          <xdr:nvSpPr>
            <xdr:cNvPr id="38" name="TextBox 37">
              <a:extLst>
                <a:ext uri="{FF2B5EF4-FFF2-40B4-BE49-F238E27FC236}">
                  <a16:creationId xmlns:a16="http://schemas.microsoft.com/office/drawing/2014/main" id="{57C1F037-A38C-835B-7A1F-DDD2417CDD10}"/>
                </a:ext>
              </a:extLst>
            </xdr:cNvPr>
            <xdr:cNvSpPr txBox="1"/>
          </xdr:nvSpPr>
          <xdr:spPr>
            <a:xfrm>
              <a:off x="13526424075" y="14892913"/>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18</a:t>
              </a:r>
              <a:endParaRPr lang="en-US" sz="1100"/>
            </a:p>
          </xdr:txBody>
        </xdr:sp>
      </mc:Fallback>
    </mc:AlternateContent>
    <xdr:clientData/>
  </xdr:oneCellAnchor>
  <xdr:oneCellAnchor>
    <xdr:from>
      <xdr:col>1</xdr:col>
      <xdr:colOff>440910</xdr:colOff>
      <xdr:row>689</xdr:row>
      <xdr:rowOff>130081</xdr:rowOff>
    </xdr:from>
    <xdr:ext cx="1615477" cy="172227"/>
    <mc:AlternateContent xmlns:mc="http://schemas.openxmlformats.org/markup-compatibility/2006" xmlns:a14="http://schemas.microsoft.com/office/drawing/2010/main">
      <mc:Choice Requires="a14">
        <xdr:sp macro="" textlink="">
          <xdr:nvSpPr>
            <xdr:cNvPr id="41" name="TextBox 40">
              <a:extLst>
                <a:ext uri="{FF2B5EF4-FFF2-40B4-BE49-F238E27FC236}">
                  <a16:creationId xmlns:a16="http://schemas.microsoft.com/office/drawing/2014/main" id="{B5818AAE-DEEC-CB91-BD6A-B50286C6F044}"/>
                </a:ext>
              </a:extLst>
            </xdr:cNvPr>
            <xdr:cNvSpPr txBox="1"/>
          </xdr:nvSpPr>
          <xdr:spPr>
            <a:xfrm>
              <a:off x="13528123526" y="14896584"/>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17</m:t>
                    </m:r>
                  </m:oMath>
                </m:oMathPara>
              </a14:m>
              <a:endParaRPr lang="en-US" sz="1100"/>
            </a:p>
          </xdr:txBody>
        </xdr:sp>
      </mc:Choice>
      <mc:Fallback xmlns="">
        <xdr:sp macro="" textlink="">
          <xdr:nvSpPr>
            <xdr:cNvPr id="41" name="TextBox 40">
              <a:extLst>
                <a:ext uri="{FF2B5EF4-FFF2-40B4-BE49-F238E27FC236}">
                  <a16:creationId xmlns:a16="http://schemas.microsoft.com/office/drawing/2014/main" id="{B5818AAE-DEEC-CB91-BD6A-B50286C6F044}"/>
                </a:ext>
              </a:extLst>
            </xdr:cNvPr>
            <xdr:cNvSpPr txBox="1"/>
          </xdr:nvSpPr>
          <xdr:spPr>
            <a:xfrm>
              <a:off x="13528123526" y="14896584"/>
              <a:ext cx="161547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17</a:t>
              </a:r>
              <a:endParaRPr lang="en-US" sz="1100"/>
            </a:p>
          </xdr:txBody>
        </xdr:sp>
      </mc:Fallback>
    </mc:AlternateContent>
    <xdr:clientData/>
  </xdr:oneCellAnchor>
  <xdr:oneCellAnchor>
    <xdr:from>
      <xdr:col>7</xdr:col>
      <xdr:colOff>297312</xdr:colOff>
      <xdr:row>691</xdr:row>
      <xdr:rowOff>181468</xdr:rowOff>
    </xdr:from>
    <xdr:ext cx="1615477" cy="125227"/>
    <mc:AlternateContent xmlns:mc="http://schemas.openxmlformats.org/markup-compatibility/2006" xmlns:a14="http://schemas.microsoft.com/office/drawing/2010/main">
      <mc:Choice Requires="a14">
        <xdr:sp macro="" textlink="">
          <xdr:nvSpPr>
            <xdr:cNvPr id="42" name="TextBox 41">
              <a:extLst>
                <a:ext uri="{FF2B5EF4-FFF2-40B4-BE49-F238E27FC236}">
                  <a16:creationId xmlns:a16="http://schemas.microsoft.com/office/drawing/2014/main" id="{DF92AE42-1066-0005-E2A2-8CCA748D134E}"/>
                </a:ext>
              </a:extLst>
            </xdr:cNvPr>
            <xdr:cNvSpPr txBox="1"/>
          </xdr:nvSpPr>
          <xdr:spPr>
            <a:xfrm>
              <a:off x="13523311922" y="15351728"/>
              <a:ext cx="1615477"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800" b="1" i="1">
                        <a:solidFill>
                          <a:srgbClr val="FF0000"/>
                        </a:solidFill>
                        <a:latin typeface="Cambria Math" panose="02040503050406030204" pitchFamily="18" charset="0"/>
                      </a:rPr>
                      <m:t>𝟑𝟏</m:t>
                    </m:r>
                    <m:r>
                      <a:rPr lang="he-IL" sz="800" b="1" i="1">
                        <a:solidFill>
                          <a:srgbClr val="FF0000"/>
                        </a:solidFill>
                        <a:latin typeface="Cambria Math" panose="02040503050406030204" pitchFamily="18" charset="0"/>
                      </a:rPr>
                      <m:t>.</m:t>
                    </m:r>
                    <m:r>
                      <a:rPr lang="he-IL" sz="800" b="1" i="1">
                        <a:solidFill>
                          <a:srgbClr val="FF0000"/>
                        </a:solidFill>
                        <a:latin typeface="Cambria Math" panose="02040503050406030204" pitchFamily="18" charset="0"/>
                      </a:rPr>
                      <m:t>𝟏𝟐</m:t>
                    </m:r>
                    <m:r>
                      <a:rPr lang="he-IL" sz="800" b="1" i="1">
                        <a:solidFill>
                          <a:srgbClr val="FF0000"/>
                        </a:solidFill>
                        <a:latin typeface="Cambria Math" panose="02040503050406030204" pitchFamily="18" charset="0"/>
                      </a:rPr>
                      <m:t>.</m:t>
                    </m:r>
                    <m:r>
                      <a:rPr lang="he-IL" sz="800" b="1" i="1">
                        <a:solidFill>
                          <a:srgbClr val="FF0000"/>
                        </a:solidFill>
                        <a:latin typeface="Cambria Math" panose="02040503050406030204" pitchFamily="18" charset="0"/>
                      </a:rPr>
                      <m:t>𝟐𝟎𝟏𝟖</m:t>
                    </m:r>
                  </m:oMath>
                </m:oMathPara>
              </a14:m>
              <a:endParaRPr lang="en-US" sz="800" b="1">
                <a:solidFill>
                  <a:srgbClr val="FF0000"/>
                </a:solidFill>
              </a:endParaRPr>
            </a:p>
          </xdr:txBody>
        </xdr:sp>
      </mc:Choice>
      <mc:Fallback xmlns="">
        <xdr:sp macro="" textlink="">
          <xdr:nvSpPr>
            <xdr:cNvPr id="42" name="TextBox 41">
              <a:extLst>
                <a:ext uri="{FF2B5EF4-FFF2-40B4-BE49-F238E27FC236}">
                  <a16:creationId xmlns:a16="http://schemas.microsoft.com/office/drawing/2014/main" id="{DF92AE42-1066-0005-E2A2-8CCA748D134E}"/>
                </a:ext>
              </a:extLst>
            </xdr:cNvPr>
            <xdr:cNvSpPr txBox="1"/>
          </xdr:nvSpPr>
          <xdr:spPr>
            <a:xfrm>
              <a:off x="13523311922" y="15351728"/>
              <a:ext cx="1615477"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800" b="1" i="0">
                  <a:solidFill>
                    <a:srgbClr val="FF0000"/>
                  </a:solidFill>
                  <a:latin typeface="Cambria Math" panose="02040503050406030204" pitchFamily="18" charset="0"/>
                </a:rPr>
                <a:t>𝟑𝟏.𝟏𝟐.𝟐𝟎𝟏𝟖</a:t>
              </a:r>
              <a:endParaRPr lang="en-US" sz="800" b="1">
                <a:solidFill>
                  <a:srgbClr val="FF0000"/>
                </a:solidFill>
              </a:endParaRPr>
            </a:p>
          </xdr:txBody>
        </xdr:sp>
      </mc:Fallback>
    </mc:AlternateContent>
    <xdr:clientData/>
  </xdr:oneCellAnchor>
  <xdr:oneCellAnchor>
    <xdr:from>
      <xdr:col>5</xdr:col>
      <xdr:colOff>400086</xdr:colOff>
      <xdr:row>691</xdr:row>
      <xdr:rowOff>181468</xdr:rowOff>
    </xdr:from>
    <xdr:ext cx="1615477" cy="125227"/>
    <mc:AlternateContent xmlns:mc="http://schemas.openxmlformats.org/markup-compatibility/2006" xmlns:a14="http://schemas.microsoft.com/office/drawing/2010/main">
      <mc:Choice Requires="a14">
        <xdr:sp macro="" textlink="">
          <xdr:nvSpPr>
            <xdr:cNvPr id="47" name="TextBox 46">
              <a:extLst>
                <a:ext uri="{FF2B5EF4-FFF2-40B4-BE49-F238E27FC236}">
                  <a16:creationId xmlns:a16="http://schemas.microsoft.com/office/drawing/2014/main" id="{440343AC-C160-6604-317B-1CB1D10B3C6C}"/>
                </a:ext>
              </a:extLst>
            </xdr:cNvPr>
            <xdr:cNvSpPr txBox="1"/>
          </xdr:nvSpPr>
          <xdr:spPr>
            <a:xfrm>
              <a:off x="13524860882" y="15351728"/>
              <a:ext cx="1615477"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800" b="1" i="1">
                        <a:solidFill>
                          <a:srgbClr val="FF0000"/>
                        </a:solidFill>
                        <a:latin typeface="Cambria Math" panose="02040503050406030204" pitchFamily="18" charset="0"/>
                      </a:rPr>
                      <m:t>𝟑𝟏</m:t>
                    </m:r>
                    <m:r>
                      <a:rPr lang="he-IL" sz="800" b="1" i="1">
                        <a:solidFill>
                          <a:srgbClr val="FF0000"/>
                        </a:solidFill>
                        <a:latin typeface="Cambria Math" panose="02040503050406030204" pitchFamily="18" charset="0"/>
                      </a:rPr>
                      <m:t>.</m:t>
                    </m:r>
                    <m:r>
                      <a:rPr lang="he-IL" sz="800" b="1" i="1">
                        <a:solidFill>
                          <a:srgbClr val="FF0000"/>
                        </a:solidFill>
                        <a:latin typeface="Cambria Math" panose="02040503050406030204" pitchFamily="18" charset="0"/>
                      </a:rPr>
                      <m:t>𝟏𝟐</m:t>
                    </m:r>
                    <m:r>
                      <a:rPr lang="he-IL" sz="800" b="1" i="1">
                        <a:solidFill>
                          <a:srgbClr val="FF0000"/>
                        </a:solidFill>
                        <a:latin typeface="Cambria Math" panose="02040503050406030204" pitchFamily="18" charset="0"/>
                      </a:rPr>
                      <m:t>.</m:t>
                    </m:r>
                    <m:r>
                      <a:rPr lang="he-IL" sz="800" b="1" i="1">
                        <a:solidFill>
                          <a:srgbClr val="FF0000"/>
                        </a:solidFill>
                        <a:latin typeface="Cambria Math" panose="02040503050406030204" pitchFamily="18" charset="0"/>
                      </a:rPr>
                      <m:t>𝟐𝟎𝟏𝟗</m:t>
                    </m:r>
                  </m:oMath>
                </m:oMathPara>
              </a14:m>
              <a:endParaRPr lang="en-US" sz="800" b="1">
                <a:solidFill>
                  <a:srgbClr val="FF0000"/>
                </a:solidFill>
              </a:endParaRPr>
            </a:p>
          </xdr:txBody>
        </xdr:sp>
      </mc:Choice>
      <mc:Fallback xmlns="">
        <xdr:sp macro="" textlink="">
          <xdr:nvSpPr>
            <xdr:cNvPr id="47" name="TextBox 46">
              <a:extLst>
                <a:ext uri="{FF2B5EF4-FFF2-40B4-BE49-F238E27FC236}">
                  <a16:creationId xmlns:a16="http://schemas.microsoft.com/office/drawing/2014/main" id="{440343AC-C160-6604-317B-1CB1D10B3C6C}"/>
                </a:ext>
              </a:extLst>
            </xdr:cNvPr>
            <xdr:cNvSpPr txBox="1"/>
          </xdr:nvSpPr>
          <xdr:spPr>
            <a:xfrm>
              <a:off x="13524860882" y="15351728"/>
              <a:ext cx="1615477"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800" b="1" i="0">
                  <a:solidFill>
                    <a:srgbClr val="FF0000"/>
                  </a:solidFill>
                  <a:latin typeface="Cambria Math" panose="02040503050406030204" pitchFamily="18" charset="0"/>
                </a:rPr>
                <a:t>𝟑𝟏.𝟏𝟐.𝟐𝟎𝟏𝟗</a:t>
              </a:r>
              <a:endParaRPr lang="en-US" sz="800" b="1">
                <a:solidFill>
                  <a:srgbClr val="FF0000"/>
                </a:solidFill>
              </a:endParaRPr>
            </a:p>
          </xdr:txBody>
        </xdr:sp>
      </mc:Fallback>
    </mc:AlternateContent>
    <xdr:clientData/>
  </xdr:oneCellAnchor>
  <xdr:oneCellAnchor>
    <xdr:from>
      <xdr:col>3</xdr:col>
      <xdr:colOff>418438</xdr:colOff>
      <xdr:row>691</xdr:row>
      <xdr:rowOff>163115</xdr:rowOff>
    </xdr:from>
    <xdr:ext cx="1615477" cy="125227"/>
    <mc:AlternateContent xmlns:mc="http://schemas.openxmlformats.org/markup-compatibility/2006" xmlns:a14="http://schemas.microsoft.com/office/drawing/2010/main">
      <mc:Choice Requires="a14">
        <xdr:sp macro="" textlink="">
          <xdr:nvSpPr>
            <xdr:cNvPr id="48" name="TextBox 47">
              <a:extLst>
                <a:ext uri="{FF2B5EF4-FFF2-40B4-BE49-F238E27FC236}">
                  <a16:creationId xmlns:a16="http://schemas.microsoft.com/office/drawing/2014/main" id="{3FA91042-26C6-DED7-6FA2-F986E81D11BF}"/>
                </a:ext>
              </a:extLst>
            </xdr:cNvPr>
            <xdr:cNvSpPr txBox="1"/>
          </xdr:nvSpPr>
          <xdr:spPr>
            <a:xfrm>
              <a:off x="13526494264" y="15333375"/>
              <a:ext cx="1615477"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800" b="1" i="1">
                        <a:solidFill>
                          <a:srgbClr val="FF0000"/>
                        </a:solidFill>
                        <a:latin typeface="Cambria Math" panose="02040503050406030204" pitchFamily="18" charset="0"/>
                      </a:rPr>
                      <m:t>𝟑𝟏</m:t>
                    </m:r>
                    <m:r>
                      <a:rPr lang="he-IL" sz="800" b="1" i="1">
                        <a:solidFill>
                          <a:srgbClr val="FF0000"/>
                        </a:solidFill>
                        <a:latin typeface="Cambria Math" panose="02040503050406030204" pitchFamily="18" charset="0"/>
                      </a:rPr>
                      <m:t>.</m:t>
                    </m:r>
                    <m:r>
                      <a:rPr lang="he-IL" sz="800" b="1" i="1">
                        <a:solidFill>
                          <a:srgbClr val="FF0000"/>
                        </a:solidFill>
                        <a:latin typeface="Cambria Math" panose="02040503050406030204" pitchFamily="18" charset="0"/>
                      </a:rPr>
                      <m:t>𝟏𝟐</m:t>
                    </m:r>
                    <m:r>
                      <a:rPr lang="he-IL" sz="800" b="1" i="1">
                        <a:solidFill>
                          <a:srgbClr val="FF0000"/>
                        </a:solidFill>
                        <a:latin typeface="Cambria Math" panose="02040503050406030204" pitchFamily="18" charset="0"/>
                      </a:rPr>
                      <m:t>.</m:t>
                    </m:r>
                    <m:r>
                      <a:rPr lang="he-IL" sz="800" b="1" i="1">
                        <a:solidFill>
                          <a:srgbClr val="FF0000"/>
                        </a:solidFill>
                        <a:latin typeface="Cambria Math" panose="02040503050406030204" pitchFamily="18" charset="0"/>
                      </a:rPr>
                      <m:t>𝟐𝟎𝟐𝟎</m:t>
                    </m:r>
                  </m:oMath>
                </m:oMathPara>
              </a14:m>
              <a:endParaRPr lang="en-US" sz="800" b="1">
                <a:solidFill>
                  <a:srgbClr val="FF0000"/>
                </a:solidFill>
              </a:endParaRPr>
            </a:p>
          </xdr:txBody>
        </xdr:sp>
      </mc:Choice>
      <mc:Fallback xmlns="">
        <xdr:sp macro="" textlink="">
          <xdr:nvSpPr>
            <xdr:cNvPr id="48" name="TextBox 47">
              <a:extLst>
                <a:ext uri="{FF2B5EF4-FFF2-40B4-BE49-F238E27FC236}">
                  <a16:creationId xmlns:a16="http://schemas.microsoft.com/office/drawing/2014/main" id="{3FA91042-26C6-DED7-6FA2-F986E81D11BF}"/>
                </a:ext>
              </a:extLst>
            </xdr:cNvPr>
            <xdr:cNvSpPr txBox="1"/>
          </xdr:nvSpPr>
          <xdr:spPr>
            <a:xfrm>
              <a:off x="13526494264" y="15333375"/>
              <a:ext cx="1615477"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800" b="1" i="0">
                  <a:solidFill>
                    <a:srgbClr val="FF0000"/>
                  </a:solidFill>
                  <a:latin typeface="Cambria Math" panose="02040503050406030204" pitchFamily="18" charset="0"/>
                </a:rPr>
                <a:t>𝟑𝟏.𝟏𝟐.𝟐𝟎𝟐𝟎</a:t>
              </a:r>
              <a:endParaRPr lang="en-US" sz="800" b="1">
                <a:solidFill>
                  <a:srgbClr val="FF0000"/>
                </a:solidFill>
              </a:endParaRPr>
            </a:p>
          </xdr:txBody>
        </xdr:sp>
      </mc:Fallback>
    </mc:AlternateContent>
    <xdr:clientData/>
  </xdr:oneCellAnchor>
  <xdr:oneCellAnchor>
    <xdr:from>
      <xdr:col>1</xdr:col>
      <xdr:colOff>414767</xdr:colOff>
      <xdr:row>691</xdr:row>
      <xdr:rowOff>155774</xdr:rowOff>
    </xdr:from>
    <xdr:ext cx="1615477" cy="125227"/>
    <mc:AlternateContent xmlns:mc="http://schemas.openxmlformats.org/markup-compatibility/2006" xmlns:a14="http://schemas.microsoft.com/office/drawing/2010/main">
      <mc:Choice Requires="a14">
        <xdr:sp macro="" textlink="">
          <xdr:nvSpPr>
            <xdr:cNvPr id="49" name="TextBox 48">
              <a:extLst>
                <a:ext uri="{FF2B5EF4-FFF2-40B4-BE49-F238E27FC236}">
                  <a16:creationId xmlns:a16="http://schemas.microsoft.com/office/drawing/2014/main" id="{5F3E1BF5-7803-3EBF-75DF-F507AE156566}"/>
                </a:ext>
              </a:extLst>
            </xdr:cNvPr>
            <xdr:cNvSpPr txBox="1"/>
          </xdr:nvSpPr>
          <xdr:spPr>
            <a:xfrm>
              <a:off x="13528149669" y="15326034"/>
              <a:ext cx="1615477"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800" b="1" i="1">
                        <a:solidFill>
                          <a:srgbClr val="FF0000"/>
                        </a:solidFill>
                        <a:latin typeface="Cambria Math" panose="02040503050406030204" pitchFamily="18" charset="0"/>
                      </a:rPr>
                      <m:t>𝟑𝟏</m:t>
                    </m:r>
                    <m:r>
                      <a:rPr lang="he-IL" sz="800" b="1" i="1">
                        <a:solidFill>
                          <a:srgbClr val="FF0000"/>
                        </a:solidFill>
                        <a:latin typeface="Cambria Math" panose="02040503050406030204" pitchFamily="18" charset="0"/>
                      </a:rPr>
                      <m:t>.</m:t>
                    </m:r>
                    <m:r>
                      <a:rPr lang="he-IL" sz="800" b="1" i="1">
                        <a:solidFill>
                          <a:srgbClr val="FF0000"/>
                        </a:solidFill>
                        <a:latin typeface="Cambria Math" panose="02040503050406030204" pitchFamily="18" charset="0"/>
                      </a:rPr>
                      <m:t>𝟏𝟐</m:t>
                    </m:r>
                    <m:r>
                      <a:rPr lang="he-IL" sz="800" b="1" i="1">
                        <a:solidFill>
                          <a:srgbClr val="FF0000"/>
                        </a:solidFill>
                        <a:latin typeface="Cambria Math" panose="02040503050406030204" pitchFamily="18" charset="0"/>
                      </a:rPr>
                      <m:t>.</m:t>
                    </m:r>
                    <m:r>
                      <a:rPr lang="he-IL" sz="800" b="1" i="1">
                        <a:solidFill>
                          <a:srgbClr val="FF0000"/>
                        </a:solidFill>
                        <a:latin typeface="Cambria Math" panose="02040503050406030204" pitchFamily="18" charset="0"/>
                      </a:rPr>
                      <m:t>𝟐𝟎𝟐𝟏</m:t>
                    </m:r>
                  </m:oMath>
                </m:oMathPara>
              </a14:m>
              <a:endParaRPr lang="en-US" sz="800" b="1">
                <a:solidFill>
                  <a:srgbClr val="FF0000"/>
                </a:solidFill>
              </a:endParaRPr>
            </a:p>
          </xdr:txBody>
        </xdr:sp>
      </mc:Choice>
      <mc:Fallback xmlns="">
        <xdr:sp macro="" textlink="">
          <xdr:nvSpPr>
            <xdr:cNvPr id="49" name="TextBox 48">
              <a:extLst>
                <a:ext uri="{FF2B5EF4-FFF2-40B4-BE49-F238E27FC236}">
                  <a16:creationId xmlns:a16="http://schemas.microsoft.com/office/drawing/2014/main" id="{5F3E1BF5-7803-3EBF-75DF-F507AE156566}"/>
                </a:ext>
              </a:extLst>
            </xdr:cNvPr>
            <xdr:cNvSpPr txBox="1"/>
          </xdr:nvSpPr>
          <xdr:spPr>
            <a:xfrm>
              <a:off x="13528149669" y="15326034"/>
              <a:ext cx="1615477"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800" b="1" i="0">
                  <a:solidFill>
                    <a:srgbClr val="FF0000"/>
                  </a:solidFill>
                  <a:latin typeface="Cambria Math" panose="02040503050406030204" pitchFamily="18" charset="0"/>
                </a:rPr>
                <a:t>𝟑𝟏.𝟏𝟐.𝟐𝟎𝟐𝟏</a:t>
              </a:r>
              <a:endParaRPr lang="en-US" sz="800" b="1">
                <a:solidFill>
                  <a:srgbClr val="FF0000"/>
                </a:solidFill>
              </a:endParaRPr>
            </a:p>
          </xdr:txBody>
        </xdr:sp>
      </mc:Fallback>
    </mc:AlternateContent>
    <xdr:clientData/>
  </xdr:oneCellAnchor>
  <xdr:twoCellAnchor>
    <xdr:from>
      <xdr:col>8</xdr:col>
      <xdr:colOff>304653</xdr:colOff>
      <xdr:row>692</xdr:row>
      <xdr:rowOff>178021</xdr:rowOff>
    </xdr:from>
    <xdr:to>
      <xdr:col>9</xdr:col>
      <xdr:colOff>163339</xdr:colOff>
      <xdr:row>693</xdr:row>
      <xdr:rowOff>66070</xdr:rowOff>
    </xdr:to>
    <xdr:sp macro="" textlink="">
      <xdr:nvSpPr>
        <xdr:cNvPr id="50" name="Right Bracket 49">
          <a:extLst>
            <a:ext uri="{FF2B5EF4-FFF2-40B4-BE49-F238E27FC236}">
              <a16:creationId xmlns:a16="http://schemas.microsoft.com/office/drawing/2014/main" id="{CFA0572A-9C21-5AD4-EBC8-914D98733DF9}"/>
            </a:ext>
          </a:extLst>
        </xdr:cNvPr>
        <xdr:cNvSpPr/>
      </xdr:nvSpPr>
      <xdr:spPr>
        <a:xfrm rot="5400000">
          <a:off x="13523706951" y="15050968"/>
          <a:ext cx="89928" cy="684553"/>
        </a:xfrm>
        <a:prstGeom prst="rightBracket">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oneCellAnchor>
    <xdr:from>
      <xdr:col>7</xdr:col>
      <xdr:colOff>679047</xdr:colOff>
      <xdr:row>693</xdr:row>
      <xdr:rowOff>148438</xdr:rowOff>
    </xdr:from>
    <xdr:ext cx="1615477" cy="201337"/>
    <mc:AlternateContent xmlns:mc="http://schemas.openxmlformats.org/markup-compatibility/2006" xmlns:a14="http://schemas.microsoft.com/office/drawing/2010/main">
      <mc:Choice Requires="a14">
        <xdr:sp macro="" textlink="">
          <xdr:nvSpPr>
            <xdr:cNvPr id="51" name="TextBox 50">
              <a:extLst>
                <a:ext uri="{FF2B5EF4-FFF2-40B4-BE49-F238E27FC236}">
                  <a16:creationId xmlns:a16="http://schemas.microsoft.com/office/drawing/2014/main" id="{51988738-9828-E9EA-7FF4-4A8A63E157EA}"/>
                </a:ext>
              </a:extLst>
            </xdr:cNvPr>
            <xdr:cNvSpPr txBox="1"/>
          </xdr:nvSpPr>
          <xdr:spPr>
            <a:xfrm>
              <a:off x="13522930187" y="15520577"/>
              <a:ext cx="1615477" cy="2013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700" b="0" i="1">
                            <a:latin typeface="Cambria Math" panose="02040503050406030204" pitchFamily="18" charset="0"/>
                          </a:rPr>
                        </m:ctrlPr>
                      </m:fPr>
                      <m:num>
                        <m:r>
                          <a:rPr lang="en-US" sz="700" b="0" i="1">
                            <a:latin typeface="Cambria Math" panose="02040503050406030204" pitchFamily="18" charset="0"/>
                          </a:rPr>
                          <m:t>4</m:t>
                        </m:r>
                      </m:num>
                      <m:den>
                        <m:r>
                          <a:rPr lang="en-US" sz="700" b="0" i="1">
                            <a:latin typeface="Cambria Math" panose="02040503050406030204" pitchFamily="18" charset="0"/>
                          </a:rPr>
                          <m:t>12</m:t>
                        </m:r>
                      </m:den>
                    </m:f>
                  </m:oMath>
                </m:oMathPara>
              </a14:m>
              <a:endParaRPr lang="en-US" sz="1100"/>
            </a:p>
          </xdr:txBody>
        </xdr:sp>
      </mc:Choice>
      <mc:Fallback xmlns="">
        <xdr:sp macro="" textlink="">
          <xdr:nvSpPr>
            <xdr:cNvPr id="51" name="TextBox 50">
              <a:extLst>
                <a:ext uri="{FF2B5EF4-FFF2-40B4-BE49-F238E27FC236}">
                  <a16:creationId xmlns:a16="http://schemas.microsoft.com/office/drawing/2014/main" id="{51988738-9828-E9EA-7FF4-4A8A63E157EA}"/>
                </a:ext>
              </a:extLst>
            </xdr:cNvPr>
            <xdr:cNvSpPr txBox="1"/>
          </xdr:nvSpPr>
          <xdr:spPr>
            <a:xfrm>
              <a:off x="13522930187" y="15520577"/>
              <a:ext cx="1615477" cy="2013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700" b="0" i="0">
                  <a:latin typeface="Cambria Math" panose="02040503050406030204" pitchFamily="18" charset="0"/>
                </a:rPr>
                <a:t>4/12</a:t>
              </a:r>
              <a:endParaRPr lang="en-US" sz="1100"/>
            </a:p>
          </xdr:txBody>
        </xdr:sp>
      </mc:Fallback>
    </mc:AlternateContent>
    <xdr:clientData/>
  </xdr:oneCellAnchor>
  <xdr:twoCellAnchor>
    <xdr:from>
      <xdr:col>8</xdr:col>
      <xdr:colOff>36705</xdr:colOff>
      <xdr:row>698</xdr:row>
      <xdr:rowOff>201878</xdr:rowOff>
    </xdr:from>
    <xdr:to>
      <xdr:col>8</xdr:col>
      <xdr:colOff>128468</xdr:colOff>
      <xdr:row>700</xdr:row>
      <xdr:rowOff>88092</xdr:rowOff>
    </xdr:to>
    <xdr:sp macro="" textlink="">
      <xdr:nvSpPr>
        <xdr:cNvPr id="52" name="Down Arrow 51">
          <a:extLst>
            <a:ext uri="{FF2B5EF4-FFF2-40B4-BE49-F238E27FC236}">
              <a16:creationId xmlns:a16="http://schemas.microsoft.com/office/drawing/2014/main" id="{DB014A00-B368-2CDC-2FEC-CA7F9B4485E5}"/>
            </a:ext>
          </a:extLst>
        </xdr:cNvPr>
        <xdr:cNvSpPr/>
      </xdr:nvSpPr>
      <xdr:spPr>
        <a:xfrm>
          <a:off x="13524270376" y="16583410"/>
          <a:ext cx="91763" cy="289971"/>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7</xdr:col>
      <xdr:colOff>165174</xdr:colOff>
      <xdr:row>699</xdr:row>
      <xdr:rowOff>11011</xdr:rowOff>
    </xdr:from>
    <xdr:to>
      <xdr:col>7</xdr:col>
      <xdr:colOff>256937</xdr:colOff>
      <xdr:row>700</xdr:row>
      <xdr:rowOff>99103</xdr:rowOff>
    </xdr:to>
    <xdr:sp macro="" textlink="">
      <xdr:nvSpPr>
        <xdr:cNvPr id="53" name="Down Arrow 52">
          <a:extLst>
            <a:ext uri="{FF2B5EF4-FFF2-40B4-BE49-F238E27FC236}">
              <a16:creationId xmlns:a16="http://schemas.microsoft.com/office/drawing/2014/main" id="{6514A9CC-EFF0-DBAF-FBFA-6560107E9C94}"/>
            </a:ext>
          </a:extLst>
        </xdr:cNvPr>
        <xdr:cNvSpPr/>
      </xdr:nvSpPr>
      <xdr:spPr>
        <a:xfrm>
          <a:off x="13524967774" y="16594421"/>
          <a:ext cx="91763" cy="289971"/>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6</xdr:col>
      <xdr:colOff>275290</xdr:colOff>
      <xdr:row>698</xdr:row>
      <xdr:rowOff>198207</xdr:rowOff>
    </xdr:from>
    <xdr:to>
      <xdr:col>6</xdr:col>
      <xdr:colOff>367053</xdr:colOff>
      <xdr:row>700</xdr:row>
      <xdr:rowOff>84421</xdr:rowOff>
    </xdr:to>
    <xdr:sp macro="" textlink="">
      <xdr:nvSpPr>
        <xdr:cNvPr id="54" name="Down Arrow 53">
          <a:extLst>
            <a:ext uri="{FF2B5EF4-FFF2-40B4-BE49-F238E27FC236}">
              <a16:creationId xmlns:a16="http://schemas.microsoft.com/office/drawing/2014/main" id="{C51121B4-0BD4-6138-BF8A-E2159B8932D4}"/>
            </a:ext>
          </a:extLst>
        </xdr:cNvPr>
        <xdr:cNvSpPr/>
      </xdr:nvSpPr>
      <xdr:spPr>
        <a:xfrm>
          <a:off x="13525683525" y="16579739"/>
          <a:ext cx="91763" cy="289971"/>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5</xdr:col>
      <xdr:colOff>583614</xdr:colOff>
      <xdr:row>699</xdr:row>
      <xdr:rowOff>29364</xdr:rowOff>
    </xdr:from>
    <xdr:to>
      <xdr:col>5</xdr:col>
      <xdr:colOff>675377</xdr:colOff>
      <xdr:row>700</xdr:row>
      <xdr:rowOff>117456</xdr:rowOff>
    </xdr:to>
    <xdr:sp macro="" textlink="">
      <xdr:nvSpPr>
        <xdr:cNvPr id="55" name="Down Arrow 54">
          <a:extLst>
            <a:ext uri="{FF2B5EF4-FFF2-40B4-BE49-F238E27FC236}">
              <a16:creationId xmlns:a16="http://schemas.microsoft.com/office/drawing/2014/main" id="{666155E8-F258-B2CE-C585-2FF3B26278DB}"/>
            </a:ext>
          </a:extLst>
        </xdr:cNvPr>
        <xdr:cNvSpPr/>
      </xdr:nvSpPr>
      <xdr:spPr>
        <a:xfrm>
          <a:off x="13526201068" y="16612774"/>
          <a:ext cx="91763" cy="289971"/>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6</xdr:col>
      <xdr:colOff>444133</xdr:colOff>
      <xdr:row>691</xdr:row>
      <xdr:rowOff>117455</xdr:rowOff>
    </xdr:from>
    <xdr:to>
      <xdr:col>8</xdr:col>
      <xdr:colOff>247761</xdr:colOff>
      <xdr:row>692</xdr:row>
      <xdr:rowOff>22022</xdr:rowOff>
    </xdr:to>
    <xdr:sp macro="" textlink="">
      <xdr:nvSpPr>
        <xdr:cNvPr id="56" name="Right Bracket 55">
          <a:extLst>
            <a:ext uri="{FF2B5EF4-FFF2-40B4-BE49-F238E27FC236}">
              <a16:creationId xmlns:a16="http://schemas.microsoft.com/office/drawing/2014/main" id="{827D5FB7-6052-C7E5-C1D5-E3F34B1FB710}"/>
            </a:ext>
          </a:extLst>
        </xdr:cNvPr>
        <xdr:cNvSpPr/>
      </xdr:nvSpPr>
      <xdr:spPr>
        <a:xfrm rot="16200000">
          <a:off x="13524825541" y="14411379"/>
          <a:ext cx="106445" cy="1455362"/>
        </a:xfrm>
        <a:prstGeom prst="righ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r" rtl="1"/>
          <a:endParaRPr lang="en-US" sz="1100"/>
        </a:p>
      </xdr:txBody>
    </xdr:sp>
    <xdr:clientData/>
  </xdr:twoCellAnchor>
  <xdr:twoCellAnchor>
    <xdr:from>
      <xdr:col>7</xdr:col>
      <xdr:colOff>374392</xdr:colOff>
      <xdr:row>692</xdr:row>
      <xdr:rowOff>181693</xdr:rowOff>
    </xdr:from>
    <xdr:to>
      <xdr:col>8</xdr:col>
      <xdr:colOff>233078</xdr:colOff>
      <xdr:row>693</xdr:row>
      <xdr:rowOff>69742</xdr:rowOff>
    </xdr:to>
    <xdr:sp macro="" textlink="">
      <xdr:nvSpPr>
        <xdr:cNvPr id="57" name="Right Bracket 56">
          <a:extLst>
            <a:ext uri="{FF2B5EF4-FFF2-40B4-BE49-F238E27FC236}">
              <a16:creationId xmlns:a16="http://schemas.microsoft.com/office/drawing/2014/main" id="{42F0DCC8-5CFD-0859-C512-DF0C6D445CF3}"/>
            </a:ext>
          </a:extLst>
        </xdr:cNvPr>
        <xdr:cNvSpPr/>
      </xdr:nvSpPr>
      <xdr:spPr>
        <a:xfrm rot="5400000">
          <a:off x="13524463079" y="15054640"/>
          <a:ext cx="89928" cy="684553"/>
        </a:xfrm>
        <a:prstGeom prst="rightBracket">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oneCellAnchor>
    <xdr:from>
      <xdr:col>6</xdr:col>
      <xdr:colOff>759798</xdr:colOff>
      <xdr:row>693</xdr:row>
      <xdr:rowOff>148438</xdr:rowOff>
    </xdr:from>
    <xdr:ext cx="1615477" cy="201337"/>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C4F46ADF-E3A9-6671-67C8-00A511ABA810}"/>
                </a:ext>
              </a:extLst>
            </xdr:cNvPr>
            <xdr:cNvSpPr txBox="1"/>
          </xdr:nvSpPr>
          <xdr:spPr>
            <a:xfrm>
              <a:off x="13523675303" y="15520577"/>
              <a:ext cx="1615477" cy="2013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700" b="0" i="1">
                            <a:latin typeface="Cambria Math" panose="02040503050406030204" pitchFamily="18" charset="0"/>
                          </a:rPr>
                        </m:ctrlPr>
                      </m:fPr>
                      <m:num>
                        <m:r>
                          <a:rPr lang="en-US" sz="700" b="0" i="1">
                            <a:latin typeface="Cambria Math" panose="02040503050406030204" pitchFamily="18" charset="0"/>
                          </a:rPr>
                          <m:t>8</m:t>
                        </m:r>
                      </m:num>
                      <m:den>
                        <m:r>
                          <a:rPr lang="en-US" sz="700" b="0" i="1">
                            <a:latin typeface="Cambria Math" panose="02040503050406030204" pitchFamily="18" charset="0"/>
                          </a:rPr>
                          <m:t>12</m:t>
                        </m:r>
                      </m:den>
                    </m:f>
                  </m:oMath>
                </m:oMathPara>
              </a14:m>
              <a:endParaRPr lang="en-US" sz="1100"/>
            </a:p>
          </xdr:txBody>
        </xdr:sp>
      </mc:Choice>
      <mc:Fallback xmlns="">
        <xdr:sp macro="" textlink="">
          <xdr:nvSpPr>
            <xdr:cNvPr id="58" name="TextBox 57">
              <a:extLst>
                <a:ext uri="{FF2B5EF4-FFF2-40B4-BE49-F238E27FC236}">
                  <a16:creationId xmlns:a16="http://schemas.microsoft.com/office/drawing/2014/main" id="{C4F46ADF-E3A9-6671-67C8-00A511ABA810}"/>
                </a:ext>
              </a:extLst>
            </xdr:cNvPr>
            <xdr:cNvSpPr txBox="1"/>
          </xdr:nvSpPr>
          <xdr:spPr>
            <a:xfrm>
              <a:off x="13523675303" y="15520577"/>
              <a:ext cx="1615477" cy="2013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700" b="0" i="0">
                  <a:latin typeface="Cambria Math" panose="02040503050406030204" pitchFamily="18" charset="0"/>
                </a:rPr>
                <a:t>8/12</a:t>
              </a:r>
              <a:endParaRPr lang="en-US" sz="1100"/>
            </a:p>
          </xdr:txBody>
        </xdr:sp>
      </mc:Fallback>
    </mc:AlternateContent>
    <xdr:clientData/>
  </xdr:oneCellAnchor>
  <xdr:twoCellAnchor>
    <xdr:from>
      <xdr:col>6</xdr:col>
      <xdr:colOff>407427</xdr:colOff>
      <xdr:row>692</xdr:row>
      <xdr:rowOff>185364</xdr:rowOff>
    </xdr:from>
    <xdr:to>
      <xdr:col>7</xdr:col>
      <xdr:colOff>266113</xdr:colOff>
      <xdr:row>693</xdr:row>
      <xdr:rowOff>73413</xdr:rowOff>
    </xdr:to>
    <xdr:sp macro="" textlink="">
      <xdr:nvSpPr>
        <xdr:cNvPr id="59" name="Right Bracket 58">
          <a:extLst>
            <a:ext uri="{FF2B5EF4-FFF2-40B4-BE49-F238E27FC236}">
              <a16:creationId xmlns:a16="http://schemas.microsoft.com/office/drawing/2014/main" id="{87321DFC-7BF7-7AC4-1268-A711E53E48E0}"/>
            </a:ext>
          </a:extLst>
        </xdr:cNvPr>
        <xdr:cNvSpPr/>
      </xdr:nvSpPr>
      <xdr:spPr>
        <a:xfrm rot="5400000">
          <a:off x="13525255911" y="15058311"/>
          <a:ext cx="89928" cy="684553"/>
        </a:xfrm>
        <a:prstGeom prst="rightBracket">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oneCellAnchor>
    <xdr:from>
      <xdr:col>5</xdr:col>
      <xdr:colOff>814857</xdr:colOff>
      <xdr:row>693</xdr:row>
      <xdr:rowOff>137427</xdr:rowOff>
    </xdr:from>
    <xdr:ext cx="1615477" cy="201337"/>
    <mc:AlternateContent xmlns:mc="http://schemas.openxmlformats.org/markup-compatibility/2006" xmlns:a14="http://schemas.microsoft.com/office/drawing/2010/main">
      <mc:Choice Requires="a14">
        <xdr:sp macro="" textlink="">
          <xdr:nvSpPr>
            <xdr:cNvPr id="60" name="TextBox 59">
              <a:extLst>
                <a:ext uri="{FF2B5EF4-FFF2-40B4-BE49-F238E27FC236}">
                  <a16:creationId xmlns:a16="http://schemas.microsoft.com/office/drawing/2014/main" id="{8F4C3F74-77FA-A4ED-4E63-43044B9277CE}"/>
                </a:ext>
              </a:extLst>
            </xdr:cNvPr>
            <xdr:cNvSpPr txBox="1"/>
          </xdr:nvSpPr>
          <xdr:spPr>
            <a:xfrm>
              <a:off x="13524446111" y="15509566"/>
              <a:ext cx="1615477" cy="2013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700" b="0" i="1">
                            <a:latin typeface="Cambria Math" panose="02040503050406030204" pitchFamily="18" charset="0"/>
                          </a:rPr>
                        </m:ctrlPr>
                      </m:fPr>
                      <m:num>
                        <m:r>
                          <a:rPr lang="en-US" sz="700" b="0" i="1">
                            <a:latin typeface="Cambria Math" panose="02040503050406030204" pitchFamily="18" charset="0"/>
                          </a:rPr>
                          <m:t>4</m:t>
                        </m:r>
                      </m:num>
                      <m:den>
                        <m:r>
                          <a:rPr lang="en-US" sz="700" b="0" i="1">
                            <a:latin typeface="Cambria Math" panose="02040503050406030204" pitchFamily="18" charset="0"/>
                          </a:rPr>
                          <m:t>12</m:t>
                        </m:r>
                      </m:den>
                    </m:f>
                  </m:oMath>
                </m:oMathPara>
              </a14:m>
              <a:endParaRPr lang="en-US" sz="1100"/>
            </a:p>
          </xdr:txBody>
        </xdr:sp>
      </mc:Choice>
      <mc:Fallback xmlns="">
        <xdr:sp macro="" textlink="">
          <xdr:nvSpPr>
            <xdr:cNvPr id="60" name="TextBox 59">
              <a:extLst>
                <a:ext uri="{FF2B5EF4-FFF2-40B4-BE49-F238E27FC236}">
                  <a16:creationId xmlns:a16="http://schemas.microsoft.com/office/drawing/2014/main" id="{8F4C3F74-77FA-A4ED-4E63-43044B9277CE}"/>
                </a:ext>
              </a:extLst>
            </xdr:cNvPr>
            <xdr:cNvSpPr txBox="1"/>
          </xdr:nvSpPr>
          <xdr:spPr>
            <a:xfrm>
              <a:off x="13524446111" y="15509566"/>
              <a:ext cx="1615477" cy="2013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700" b="0" i="0">
                  <a:latin typeface="Cambria Math" panose="02040503050406030204" pitchFamily="18" charset="0"/>
                </a:rPr>
                <a:t>4/12</a:t>
              </a:r>
              <a:endParaRPr lang="en-US" sz="1100"/>
            </a:p>
          </xdr:txBody>
        </xdr:sp>
      </mc:Fallback>
    </mc:AlternateContent>
    <xdr:clientData/>
  </xdr:oneCellAnchor>
  <xdr:twoCellAnchor>
    <xdr:from>
      <xdr:col>4</xdr:col>
      <xdr:colOff>466145</xdr:colOff>
      <xdr:row>691</xdr:row>
      <xdr:rowOff>102773</xdr:rowOff>
    </xdr:from>
    <xdr:to>
      <xdr:col>6</xdr:col>
      <xdr:colOff>269773</xdr:colOff>
      <xdr:row>692</xdr:row>
      <xdr:rowOff>7340</xdr:rowOff>
    </xdr:to>
    <xdr:sp macro="" textlink="">
      <xdr:nvSpPr>
        <xdr:cNvPr id="61" name="Right Bracket 60">
          <a:extLst>
            <a:ext uri="{FF2B5EF4-FFF2-40B4-BE49-F238E27FC236}">
              <a16:creationId xmlns:a16="http://schemas.microsoft.com/office/drawing/2014/main" id="{618DEB2F-A9E3-A377-0BDC-A237575BC5BB}"/>
            </a:ext>
          </a:extLst>
        </xdr:cNvPr>
        <xdr:cNvSpPr/>
      </xdr:nvSpPr>
      <xdr:spPr>
        <a:xfrm rot="16200000">
          <a:off x="13526455263" y="14396697"/>
          <a:ext cx="106445" cy="1455362"/>
        </a:xfrm>
        <a:prstGeom prst="righ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r" rtl="1"/>
          <a:endParaRPr lang="en-US" sz="1100"/>
        </a:p>
      </xdr:txBody>
    </xdr:sp>
    <xdr:clientData/>
  </xdr:twoCellAnchor>
  <xdr:twoCellAnchor>
    <xdr:from>
      <xdr:col>5</xdr:col>
      <xdr:colOff>389074</xdr:colOff>
      <xdr:row>692</xdr:row>
      <xdr:rowOff>170683</xdr:rowOff>
    </xdr:from>
    <xdr:to>
      <xdr:col>6</xdr:col>
      <xdr:colOff>247760</xdr:colOff>
      <xdr:row>693</xdr:row>
      <xdr:rowOff>58732</xdr:rowOff>
    </xdr:to>
    <xdr:sp macro="" textlink="">
      <xdr:nvSpPr>
        <xdr:cNvPr id="62" name="Right Bracket 61">
          <a:extLst>
            <a:ext uri="{FF2B5EF4-FFF2-40B4-BE49-F238E27FC236}">
              <a16:creationId xmlns:a16="http://schemas.microsoft.com/office/drawing/2014/main" id="{9DAAA57D-9946-0B9B-0851-CEC2DFD400FC}"/>
            </a:ext>
          </a:extLst>
        </xdr:cNvPr>
        <xdr:cNvSpPr/>
      </xdr:nvSpPr>
      <xdr:spPr>
        <a:xfrm rot="5400000">
          <a:off x="13526100131" y="15043630"/>
          <a:ext cx="89928" cy="684553"/>
        </a:xfrm>
        <a:prstGeom prst="rightBracket">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oneCellAnchor>
    <xdr:from>
      <xdr:col>5</xdr:col>
      <xdr:colOff>517542</xdr:colOff>
      <xdr:row>693</xdr:row>
      <xdr:rowOff>89709</xdr:rowOff>
    </xdr:from>
    <xdr:ext cx="477616" cy="201722"/>
    <mc:AlternateContent xmlns:mc="http://schemas.openxmlformats.org/markup-compatibility/2006" xmlns:a14="http://schemas.microsoft.com/office/drawing/2010/main">
      <mc:Choice Requires="a14">
        <xdr:sp macro="" textlink="">
          <xdr:nvSpPr>
            <xdr:cNvPr id="63" name="TextBox 62">
              <a:extLst>
                <a:ext uri="{FF2B5EF4-FFF2-40B4-BE49-F238E27FC236}">
                  <a16:creationId xmlns:a16="http://schemas.microsoft.com/office/drawing/2014/main" id="{EF72CCBE-70D8-B19B-2CBB-75541EA4C87D}"/>
                </a:ext>
              </a:extLst>
            </xdr:cNvPr>
            <xdr:cNvSpPr txBox="1"/>
          </xdr:nvSpPr>
          <xdr:spPr>
            <a:xfrm>
              <a:off x="13525881287" y="15461848"/>
              <a:ext cx="477616" cy="2017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700" b="0" i="1">
                            <a:latin typeface="Cambria Math" panose="02040503050406030204" pitchFamily="18" charset="0"/>
                          </a:rPr>
                        </m:ctrlPr>
                      </m:fPr>
                      <m:num>
                        <m:r>
                          <a:rPr lang="en-US" sz="700" b="0" i="1">
                            <a:latin typeface="Cambria Math" panose="02040503050406030204" pitchFamily="18" charset="0"/>
                          </a:rPr>
                          <m:t>8</m:t>
                        </m:r>
                      </m:num>
                      <m:den>
                        <m:r>
                          <a:rPr lang="en-US" sz="700" b="0" i="1">
                            <a:latin typeface="Cambria Math" panose="02040503050406030204" pitchFamily="18" charset="0"/>
                          </a:rPr>
                          <m:t>12</m:t>
                        </m:r>
                      </m:den>
                    </m:f>
                  </m:oMath>
                </m:oMathPara>
              </a14:m>
              <a:endParaRPr lang="en-US" sz="1100"/>
            </a:p>
          </xdr:txBody>
        </xdr:sp>
      </mc:Choice>
      <mc:Fallback xmlns="">
        <xdr:sp macro="" textlink="">
          <xdr:nvSpPr>
            <xdr:cNvPr id="63" name="TextBox 62">
              <a:extLst>
                <a:ext uri="{FF2B5EF4-FFF2-40B4-BE49-F238E27FC236}">
                  <a16:creationId xmlns:a16="http://schemas.microsoft.com/office/drawing/2014/main" id="{EF72CCBE-70D8-B19B-2CBB-75541EA4C87D}"/>
                </a:ext>
              </a:extLst>
            </xdr:cNvPr>
            <xdr:cNvSpPr txBox="1"/>
          </xdr:nvSpPr>
          <xdr:spPr>
            <a:xfrm>
              <a:off x="13525881287" y="15461848"/>
              <a:ext cx="477616" cy="2017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700" b="0" i="0">
                  <a:latin typeface="Cambria Math" panose="02040503050406030204" pitchFamily="18" charset="0"/>
                </a:rPr>
                <a:t>8/12</a:t>
              </a:r>
              <a:endParaRPr lang="en-US" sz="1100"/>
            </a:p>
          </xdr:txBody>
        </xdr:sp>
      </mc:Fallback>
    </mc:AlternateContent>
    <xdr:clientData/>
  </xdr:oneCellAnchor>
  <xdr:twoCellAnchor>
    <xdr:from>
      <xdr:col>4</xdr:col>
      <xdr:colOff>440461</xdr:colOff>
      <xdr:row>692</xdr:row>
      <xdr:rowOff>167013</xdr:rowOff>
    </xdr:from>
    <xdr:to>
      <xdr:col>5</xdr:col>
      <xdr:colOff>299147</xdr:colOff>
      <xdr:row>693</xdr:row>
      <xdr:rowOff>55062</xdr:rowOff>
    </xdr:to>
    <xdr:sp macro="" textlink="">
      <xdr:nvSpPr>
        <xdr:cNvPr id="64" name="Right Bracket 63">
          <a:extLst>
            <a:ext uri="{FF2B5EF4-FFF2-40B4-BE49-F238E27FC236}">
              <a16:creationId xmlns:a16="http://schemas.microsoft.com/office/drawing/2014/main" id="{59E11DB6-89FF-D594-D31D-69A4BF8AE161}"/>
            </a:ext>
          </a:extLst>
        </xdr:cNvPr>
        <xdr:cNvSpPr/>
      </xdr:nvSpPr>
      <xdr:spPr>
        <a:xfrm rot="5400000">
          <a:off x="13526874611" y="15039960"/>
          <a:ext cx="89928" cy="684553"/>
        </a:xfrm>
        <a:prstGeom prst="rightBracket">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oneCellAnchor>
    <xdr:from>
      <xdr:col>3</xdr:col>
      <xdr:colOff>789164</xdr:colOff>
      <xdr:row>693</xdr:row>
      <xdr:rowOff>108063</xdr:rowOff>
    </xdr:from>
    <xdr:ext cx="1615477" cy="201337"/>
    <mc:AlternateContent xmlns:mc="http://schemas.openxmlformats.org/markup-compatibility/2006" xmlns:a14="http://schemas.microsoft.com/office/drawing/2010/main">
      <mc:Choice Requires="a14">
        <xdr:sp macro="" textlink="">
          <xdr:nvSpPr>
            <xdr:cNvPr id="65" name="TextBox 64">
              <a:extLst>
                <a:ext uri="{FF2B5EF4-FFF2-40B4-BE49-F238E27FC236}">
                  <a16:creationId xmlns:a16="http://schemas.microsoft.com/office/drawing/2014/main" id="{CCD50ED8-0521-73C7-8323-029AA2015D16}"/>
                </a:ext>
              </a:extLst>
            </xdr:cNvPr>
            <xdr:cNvSpPr txBox="1"/>
          </xdr:nvSpPr>
          <xdr:spPr>
            <a:xfrm>
              <a:off x="13526123538" y="15480202"/>
              <a:ext cx="1615477" cy="2013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700" b="0" i="1">
                            <a:latin typeface="Cambria Math" panose="02040503050406030204" pitchFamily="18" charset="0"/>
                          </a:rPr>
                        </m:ctrlPr>
                      </m:fPr>
                      <m:num>
                        <m:r>
                          <a:rPr lang="en-US" sz="700" b="0" i="1">
                            <a:latin typeface="Cambria Math" panose="02040503050406030204" pitchFamily="18" charset="0"/>
                          </a:rPr>
                          <m:t>4</m:t>
                        </m:r>
                      </m:num>
                      <m:den>
                        <m:r>
                          <a:rPr lang="en-US" sz="700" b="0" i="1">
                            <a:latin typeface="Cambria Math" panose="02040503050406030204" pitchFamily="18" charset="0"/>
                          </a:rPr>
                          <m:t>12</m:t>
                        </m:r>
                      </m:den>
                    </m:f>
                  </m:oMath>
                </m:oMathPara>
              </a14:m>
              <a:endParaRPr lang="en-US" sz="1100"/>
            </a:p>
          </xdr:txBody>
        </xdr:sp>
      </mc:Choice>
      <mc:Fallback xmlns="">
        <xdr:sp macro="" textlink="">
          <xdr:nvSpPr>
            <xdr:cNvPr id="65" name="TextBox 64">
              <a:extLst>
                <a:ext uri="{FF2B5EF4-FFF2-40B4-BE49-F238E27FC236}">
                  <a16:creationId xmlns:a16="http://schemas.microsoft.com/office/drawing/2014/main" id="{CCD50ED8-0521-73C7-8323-029AA2015D16}"/>
                </a:ext>
              </a:extLst>
            </xdr:cNvPr>
            <xdr:cNvSpPr txBox="1"/>
          </xdr:nvSpPr>
          <xdr:spPr>
            <a:xfrm>
              <a:off x="13526123538" y="15480202"/>
              <a:ext cx="1615477" cy="2013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700" b="0" i="0">
                  <a:latin typeface="Cambria Math" panose="02040503050406030204" pitchFamily="18" charset="0"/>
                </a:rPr>
                <a:t>4/12</a:t>
              </a:r>
              <a:endParaRPr lang="en-US" sz="1100"/>
            </a:p>
          </xdr:txBody>
        </xdr:sp>
      </mc:Fallback>
    </mc:AlternateContent>
    <xdr:clientData/>
  </xdr:oneCellAnchor>
  <xdr:twoCellAnchor>
    <xdr:from>
      <xdr:col>2</xdr:col>
      <xdr:colOff>561577</xdr:colOff>
      <xdr:row>691</xdr:row>
      <xdr:rowOff>91761</xdr:rowOff>
    </xdr:from>
    <xdr:to>
      <xdr:col>4</xdr:col>
      <xdr:colOff>365205</xdr:colOff>
      <xdr:row>691</xdr:row>
      <xdr:rowOff>198206</xdr:rowOff>
    </xdr:to>
    <xdr:sp macro="" textlink="">
      <xdr:nvSpPr>
        <xdr:cNvPr id="66" name="Right Bracket 65">
          <a:extLst>
            <a:ext uri="{FF2B5EF4-FFF2-40B4-BE49-F238E27FC236}">
              <a16:creationId xmlns:a16="http://schemas.microsoft.com/office/drawing/2014/main" id="{CFD92EEC-ABB7-4D8E-18C7-31AAA4A08EEF}"/>
            </a:ext>
          </a:extLst>
        </xdr:cNvPr>
        <xdr:cNvSpPr/>
      </xdr:nvSpPr>
      <xdr:spPr>
        <a:xfrm rot="16200000">
          <a:off x="13528011565" y="14385685"/>
          <a:ext cx="106445" cy="1455362"/>
        </a:xfrm>
        <a:prstGeom prst="righ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r" rtl="1"/>
          <a:endParaRPr lang="en-US" sz="1100"/>
        </a:p>
      </xdr:txBody>
    </xdr:sp>
    <xdr:clientData/>
  </xdr:twoCellAnchor>
  <xdr:twoCellAnchor>
    <xdr:from>
      <xdr:col>3</xdr:col>
      <xdr:colOff>513871</xdr:colOff>
      <xdr:row>692</xdr:row>
      <xdr:rowOff>156002</xdr:rowOff>
    </xdr:from>
    <xdr:to>
      <xdr:col>4</xdr:col>
      <xdr:colOff>372557</xdr:colOff>
      <xdr:row>693</xdr:row>
      <xdr:rowOff>44051</xdr:rowOff>
    </xdr:to>
    <xdr:sp macro="" textlink="">
      <xdr:nvSpPr>
        <xdr:cNvPr id="67" name="Right Bracket 66">
          <a:extLst>
            <a:ext uri="{FF2B5EF4-FFF2-40B4-BE49-F238E27FC236}">
              <a16:creationId xmlns:a16="http://schemas.microsoft.com/office/drawing/2014/main" id="{A47168BC-111E-B2D6-BB19-30DFDB82407A}"/>
            </a:ext>
          </a:extLst>
        </xdr:cNvPr>
        <xdr:cNvSpPr/>
      </xdr:nvSpPr>
      <xdr:spPr>
        <a:xfrm rot="5400000">
          <a:off x="13527627068" y="15028949"/>
          <a:ext cx="89928" cy="684553"/>
        </a:xfrm>
        <a:prstGeom prst="rightBracket">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oneCellAnchor>
    <xdr:from>
      <xdr:col>3</xdr:col>
      <xdr:colOff>642339</xdr:colOff>
      <xdr:row>693</xdr:row>
      <xdr:rowOff>75028</xdr:rowOff>
    </xdr:from>
    <xdr:ext cx="477616" cy="201722"/>
    <mc:AlternateContent xmlns:mc="http://schemas.openxmlformats.org/markup-compatibility/2006" xmlns:a14="http://schemas.microsoft.com/office/drawing/2010/main">
      <mc:Choice Requires="a14">
        <xdr:sp macro="" textlink="">
          <xdr:nvSpPr>
            <xdr:cNvPr id="68" name="TextBox 67">
              <a:extLst>
                <a:ext uri="{FF2B5EF4-FFF2-40B4-BE49-F238E27FC236}">
                  <a16:creationId xmlns:a16="http://schemas.microsoft.com/office/drawing/2014/main" id="{8316E92A-0986-5F99-5B59-853BF08ACD68}"/>
                </a:ext>
              </a:extLst>
            </xdr:cNvPr>
            <xdr:cNvSpPr txBox="1"/>
          </xdr:nvSpPr>
          <xdr:spPr>
            <a:xfrm>
              <a:off x="13527408224" y="15447167"/>
              <a:ext cx="477616" cy="2017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700" b="0" i="1">
                            <a:latin typeface="Cambria Math" panose="02040503050406030204" pitchFamily="18" charset="0"/>
                          </a:rPr>
                        </m:ctrlPr>
                      </m:fPr>
                      <m:num>
                        <m:r>
                          <a:rPr lang="en-US" sz="700" b="0" i="1">
                            <a:latin typeface="Cambria Math" panose="02040503050406030204" pitchFamily="18" charset="0"/>
                          </a:rPr>
                          <m:t>8</m:t>
                        </m:r>
                      </m:num>
                      <m:den>
                        <m:r>
                          <a:rPr lang="en-US" sz="700" b="0" i="1">
                            <a:latin typeface="Cambria Math" panose="02040503050406030204" pitchFamily="18" charset="0"/>
                          </a:rPr>
                          <m:t>12</m:t>
                        </m:r>
                      </m:den>
                    </m:f>
                  </m:oMath>
                </m:oMathPara>
              </a14:m>
              <a:endParaRPr lang="en-US" sz="1100"/>
            </a:p>
          </xdr:txBody>
        </xdr:sp>
      </mc:Choice>
      <mc:Fallback xmlns="">
        <xdr:sp macro="" textlink="">
          <xdr:nvSpPr>
            <xdr:cNvPr id="68" name="TextBox 67">
              <a:extLst>
                <a:ext uri="{FF2B5EF4-FFF2-40B4-BE49-F238E27FC236}">
                  <a16:creationId xmlns:a16="http://schemas.microsoft.com/office/drawing/2014/main" id="{8316E92A-0986-5F99-5B59-853BF08ACD68}"/>
                </a:ext>
              </a:extLst>
            </xdr:cNvPr>
            <xdr:cNvSpPr txBox="1"/>
          </xdr:nvSpPr>
          <xdr:spPr>
            <a:xfrm>
              <a:off x="13527408224" y="15447167"/>
              <a:ext cx="477616" cy="2017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700" b="0" i="0">
                  <a:latin typeface="Cambria Math" panose="02040503050406030204" pitchFamily="18" charset="0"/>
                </a:rPr>
                <a:t>8/12</a:t>
              </a:r>
              <a:endParaRPr lang="en-US" sz="1100"/>
            </a:p>
          </xdr:txBody>
        </xdr:sp>
      </mc:Fallback>
    </mc:AlternateContent>
    <xdr:clientData/>
  </xdr:oneCellAnchor>
  <xdr:twoCellAnchor>
    <xdr:from>
      <xdr:col>2</xdr:col>
      <xdr:colOff>565258</xdr:colOff>
      <xdr:row>692</xdr:row>
      <xdr:rowOff>152332</xdr:rowOff>
    </xdr:from>
    <xdr:to>
      <xdr:col>3</xdr:col>
      <xdr:colOff>423944</xdr:colOff>
      <xdr:row>693</xdr:row>
      <xdr:rowOff>40381</xdr:rowOff>
    </xdr:to>
    <xdr:sp macro="" textlink="">
      <xdr:nvSpPr>
        <xdr:cNvPr id="69" name="Right Bracket 68">
          <a:extLst>
            <a:ext uri="{FF2B5EF4-FFF2-40B4-BE49-F238E27FC236}">
              <a16:creationId xmlns:a16="http://schemas.microsoft.com/office/drawing/2014/main" id="{04A5ABDF-A5FC-72FB-DAC7-D9A26170E74D}"/>
            </a:ext>
          </a:extLst>
        </xdr:cNvPr>
        <xdr:cNvSpPr/>
      </xdr:nvSpPr>
      <xdr:spPr>
        <a:xfrm rot="5400000">
          <a:off x="13528401548" y="15025279"/>
          <a:ext cx="89928" cy="684553"/>
        </a:xfrm>
        <a:prstGeom prst="rightBracket">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oneCellAnchor>
    <xdr:from>
      <xdr:col>2</xdr:col>
      <xdr:colOff>88094</xdr:colOff>
      <xdr:row>693</xdr:row>
      <xdr:rowOff>93382</xdr:rowOff>
    </xdr:from>
    <xdr:ext cx="1615477" cy="201337"/>
    <mc:AlternateContent xmlns:mc="http://schemas.openxmlformats.org/markup-compatibility/2006" xmlns:a14="http://schemas.microsoft.com/office/drawing/2010/main">
      <mc:Choice Requires="a14">
        <xdr:sp macro="" textlink="">
          <xdr:nvSpPr>
            <xdr:cNvPr id="70" name="TextBox 69">
              <a:extLst>
                <a:ext uri="{FF2B5EF4-FFF2-40B4-BE49-F238E27FC236}">
                  <a16:creationId xmlns:a16="http://schemas.microsoft.com/office/drawing/2014/main" id="{03032C23-A19F-465C-3A60-450F0FF8D2EF}"/>
                </a:ext>
              </a:extLst>
            </xdr:cNvPr>
            <xdr:cNvSpPr txBox="1"/>
          </xdr:nvSpPr>
          <xdr:spPr>
            <a:xfrm>
              <a:off x="13527650475" y="15465521"/>
              <a:ext cx="1615477" cy="2013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700" b="0" i="1">
                            <a:latin typeface="Cambria Math" panose="02040503050406030204" pitchFamily="18" charset="0"/>
                          </a:rPr>
                        </m:ctrlPr>
                      </m:fPr>
                      <m:num>
                        <m:r>
                          <a:rPr lang="en-US" sz="700" b="0" i="1">
                            <a:latin typeface="Cambria Math" panose="02040503050406030204" pitchFamily="18" charset="0"/>
                          </a:rPr>
                          <m:t>4</m:t>
                        </m:r>
                      </m:num>
                      <m:den>
                        <m:r>
                          <a:rPr lang="en-US" sz="700" b="0" i="1">
                            <a:latin typeface="Cambria Math" panose="02040503050406030204" pitchFamily="18" charset="0"/>
                          </a:rPr>
                          <m:t>12</m:t>
                        </m:r>
                      </m:den>
                    </m:f>
                  </m:oMath>
                </m:oMathPara>
              </a14:m>
              <a:endParaRPr lang="en-US" sz="1100"/>
            </a:p>
          </xdr:txBody>
        </xdr:sp>
      </mc:Choice>
      <mc:Fallback xmlns="">
        <xdr:sp macro="" textlink="">
          <xdr:nvSpPr>
            <xdr:cNvPr id="70" name="TextBox 69">
              <a:extLst>
                <a:ext uri="{FF2B5EF4-FFF2-40B4-BE49-F238E27FC236}">
                  <a16:creationId xmlns:a16="http://schemas.microsoft.com/office/drawing/2014/main" id="{03032C23-A19F-465C-3A60-450F0FF8D2EF}"/>
                </a:ext>
              </a:extLst>
            </xdr:cNvPr>
            <xdr:cNvSpPr txBox="1"/>
          </xdr:nvSpPr>
          <xdr:spPr>
            <a:xfrm>
              <a:off x="13527650475" y="15465521"/>
              <a:ext cx="1615477" cy="2013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700" b="0" i="0">
                  <a:latin typeface="Cambria Math" panose="02040503050406030204" pitchFamily="18" charset="0"/>
                </a:rPr>
                <a:t>4/12</a:t>
              </a:r>
              <a:endParaRPr lang="en-US" sz="1100"/>
            </a:p>
          </xdr:txBody>
        </xdr:sp>
      </mc:Fallback>
    </mc:AlternateContent>
    <xdr:clientData/>
  </xdr:oneCellAnchor>
  <xdr:twoCellAnchor editAs="oneCell">
    <xdr:from>
      <xdr:col>5</xdr:col>
      <xdr:colOff>431320</xdr:colOff>
      <xdr:row>768</xdr:row>
      <xdr:rowOff>47022</xdr:rowOff>
    </xdr:from>
    <xdr:to>
      <xdr:col>9</xdr:col>
      <xdr:colOff>694945</xdr:colOff>
      <xdr:row>779</xdr:row>
      <xdr:rowOff>184728</xdr:rowOff>
    </xdr:to>
    <xdr:pic>
      <xdr:nvPicPr>
        <xdr:cNvPr id="71" name="Picture 70" descr="Funny Sausage Images – Browse 28,496 Stock Photos, Vectors, and Video |  Adobe Stock">
          <a:extLst>
            <a:ext uri="{FF2B5EF4-FFF2-40B4-BE49-F238E27FC236}">
              <a16:creationId xmlns:a16="http://schemas.microsoft.com/office/drawing/2014/main" id="{77AB23D8-F420-E4A1-47DE-BD8E95FD64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48377025" y="37419658"/>
          <a:ext cx="3573322" cy="2381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538787</xdr:colOff>
      <xdr:row>665</xdr:row>
      <xdr:rowOff>146244</xdr:rowOff>
    </xdr:from>
    <xdr:to>
      <xdr:col>10</xdr:col>
      <xdr:colOff>827424</xdr:colOff>
      <xdr:row>668</xdr:row>
      <xdr:rowOff>19243</xdr:rowOff>
    </xdr:to>
    <xdr:sp macro="" textlink="">
      <xdr:nvSpPr>
        <xdr:cNvPr id="3" name="Rectangular Callout 2">
          <a:extLst>
            <a:ext uri="{FF2B5EF4-FFF2-40B4-BE49-F238E27FC236}">
              <a16:creationId xmlns:a16="http://schemas.microsoft.com/office/drawing/2014/main" id="{505284FF-25EB-6C57-91F2-E670C43541EE}"/>
            </a:ext>
          </a:extLst>
        </xdr:cNvPr>
        <xdr:cNvSpPr/>
      </xdr:nvSpPr>
      <xdr:spPr>
        <a:xfrm>
          <a:off x="13547417122" y="16486911"/>
          <a:ext cx="1116061" cy="484908"/>
        </a:xfrm>
        <a:prstGeom prst="wedgeRectCallout">
          <a:avLst>
            <a:gd name="adj1" fmla="val -17433"/>
            <a:gd name="adj2" fmla="val -208409"/>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en-US" sz="1100"/>
            <a:t>F</a:t>
          </a:r>
          <a:r>
            <a:rPr lang="en-US" sz="1100" baseline="0"/>
            <a:t> my Life</a:t>
          </a:r>
          <a:endParaRPr lang="he-IL" sz="1100" baseline="0"/>
        </a:p>
        <a:p>
          <a:pPr algn="r" rtl="1"/>
          <a:r>
            <a:rPr lang="he-IL" sz="1100" baseline="0"/>
            <a:t>זה סכום ספרות</a:t>
          </a:r>
          <a:endParaRPr lang="en-US" sz="1100"/>
        </a:p>
      </xdr:txBody>
    </xdr:sp>
    <xdr:clientData/>
  </xdr:twoCellAnchor>
  <xdr:twoCellAnchor editAs="oneCell">
    <xdr:from>
      <xdr:col>0</xdr:col>
      <xdr:colOff>32775</xdr:colOff>
      <xdr:row>979</xdr:row>
      <xdr:rowOff>86032</xdr:rowOff>
    </xdr:from>
    <xdr:to>
      <xdr:col>7</xdr:col>
      <xdr:colOff>692355</xdr:colOff>
      <xdr:row>994</xdr:row>
      <xdr:rowOff>85518</xdr:rowOff>
    </xdr:to>
    <xdr:pic>
      <xdr:nvPicPr>
        <xdr:cNvPr id="5" name="Picture 4">
          <a:extLst>
            <a:ext uri="{FF2B5EF4-FFF2-40B4-BE49-F238E27FC236}">
              <a16:creationId xmlns:a16="http://schemas.microsoft.com/office/drawing/2014/main" id="{74D641D6-AF1A-87EE-05C9-7B219D4953FA}"/>
            </a:ext>
          </a:extLst>
        </xdr:cNvPr>
        <xdr:cNvPicPr>
          <a:picLocks noChangeAspect="1"/>
        </xdr:cNvPicPr>
      </xdr:nvPicPr>
      <xdr:blipFill>
        <a:blip xmlns:r="http://schemas.openxmlformats.org/officeDocument/2006/relationships" r:embed="rId3"/>
        <a:stretch>
          <a:fillRect/>
        </a:stretch>
      </xdr:blipFill>
      <xdr:spPr>
        <a:xfrm>
          <a:off x="13552067580" y="81026000"/>
          <a:ext cx="6452419" cy="3072065"/>
        </a:xfrm>
        <a:prstGeom prst="rect">
          <a:avLst/>
        </a:prstGeom>
      </xdr:spPr>
    </xdr:pic>
    <xdr:clientData/>
  </xdr:twoCellAnchor>
  <xdr:twoCellAnchor editAs="oneCell">
    <xdr:from>
      <xdr:col>0</xdr:col>
      <xdr:colOff>1</xdr:colOff>
      <xdr:row>1006</xdr:row>
      <xdr:rowOff>77840</xdr:rowOff>
    </xdr:from>
    <xdr:to>
      <xdr:col>7</xdr:col>
      <xdr:colOff>741517</xdr:colOff>
      <xdr:row>1023</xdr:row>
      <xdr:rowOff>123129</xdr:rowOff>
    </xdr:to>
    <xdr:pic>
      <xdr:nvPicPr>
        <xdr:cNvPr id="15" name="Picture 14">
          <a:extLst>
            <a:ext uri="{FF2B5EF4-FFF2-40B4-BE49-F238E27FC236}">
              <a16:creationId xmlns:a16="http://schemas.microsoft.com/office/drawing/2014/main" id="{A3451741-6B81-186D-1C13-C2A5765CE1B4}"/>
            </a:ext>
          </a:extLst>
        </xdr:cNvPr>
        <xdr:cNvPicPr>
          <a:picLocks noChangeAspect="1"/>
        </xdr:cNvPicPr>
      </xdr:nvPicPr>
      <xdr:blipFill>
        <a:blip xmlns:r="http://schemas.openxmlformats.org/officeDocument/2006/relationships" r:embed="rId4"/>
        <a:stretch>
          <a:fillRect/>
        </a:stretch>
      </xdr:blipFill>
      <xdr:spPr>
        <a:xfrm>
          <a:off x="13552018418" y="86548453"/>
          <a:ext cx="6534355" cy="3527544"/>
        </a:xfrm>
        <a:prstGeom prst="rect">
          <a:avLst/>
        </a:prstGeom>
      </xdr:spPr>
    </xdr:pic>
    <xdr:clientData/>
  </xdr:twoCellAnchor>
  <xdr:oneCellAnchor>
    <xdr:from>
      <xdr:col>5</xdr:col>
      <xdr:colOff>517647</xdr:colOff>
      <xdr:row>60</xdr:row>
      <xdr:rowOff>25859</xdr:rowOff>
    </xdr:from>
    <xdr:ext cx="1885063" cy="1575954"/>
    <xdr:pic>
      <xdr:nvPicPr>
        <xdr:cNvPr id="72" name="Picture 71">
          <a:extLst>
            <a:ext uri="{FF2B5EF4-FFF2-40B4-BE49-F238E27FC236}">
              <a16:creationId xmlns:a16="http://schemas.microsoft.com/office/drawing/2014/main" id="{A26A2F63-9C02-5F4E-9316-EB7FB8DC9612}"/>
            </a:ext>
          </a:extLst>
        </xdr:cNvPr>
        <xdr:cNvPicPr>
          <a:picLocks noChangeAspect="1"/>
        </xdr:cNvPicPr>
      </xdr:nvPicPr>
      <xdr:blipFill>
        <a:blip xmlns:r="http://schemas.openxmlformats.org/officeDocument/2006/relationships" r:embed="rId5"/>
        <a:stretch>
          <a:fillRect/>
        </a:stretch>
      </xdr:blipFill>
      <xdr:spPr>
        <a:xfrm>
          <a:off x="13531627189" y="12320745"/>
          <a:ext cx="1885063" cy="1575954"/>
        </a:xfrm>
        <a:prstGeom prst="rect">
          <a:avLst/>
        </a:prstGeom>
      </xdr:spPr>
    </xdr:pic>
    <xdr:clientData/>
  </xdr:oneCellAnchor>
  <xdr:oneCellAnchor>
    <xdr:from>
      <xdr:col>2</xdr:col>
      <xdr:colOff>400050</xdr:colOff>
      <xdr:row>70</xdr:row>
      <xdr:rowOff>171450</xdr:rowOff>
    </xdr:from>
    <xdr:ext cx="3308468" cy="318036"/>
    <mc:AlternateContent xmlns:mc="http://schemas.openxmlformats.org/markup-compatibility/2006" xmlns:a14="http://schemas.microsoft.com/office/drawing/2010/main">
      <mc:Choice Requires="a14">
        <xdr:sp macro="" textlink="">
          <xdr:nvSpPr>
            <xdr:cNvPr id="73" name="TextBox 72">
              <a:extLst>
                <a:ext uri="{FF2B5EF4-FFF2-40B4-BE49-F238E27FC236}">
                  <a16:creationId xmlns:a16="http://schemas.microsoft.com/office/drawing/2014/main" id="{8A1665AB-7CC8-C84D-BBC2-46FA2F34578D}"/>
                </a:ext>
              </a:extLst>
            </xdr:cNvPr>
            <xdr:cNvSpPr txBox="1"/>
          </xdr:nvSpPr>
          <xdr:spPr>
            <a:xfrm>
              <a:off x="13519632482" y="56394350"/>
              <a:ext cx="330846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r>
                      <a:rPr lang="en-US" sz="1100" b="0" i="1">
                        <a:latin typeface="Cambria Math" panose="02040503050406030204" pitchFamily="18" charset="0"/>
                      </a:rPr>
                      <m:t>=</m:t>
                    </m:r>
                    <m:f>
                      <m:fPr>
                        <m:ctrlPr>
                          <a:rPr lang="en-US" sz="1100" b="0" i="1">
                            <a:solidFill>
                              <a:srgbClr val="FF0000"/>
                            </a:solidFill>
                            <a:latin typeface="Cambria Math" panose="02040503050406030204" pitchFamily="18" charset="0"/>
                          </a:rPr>
                        </m:ctrlPr>
                      </m:fPr>
                      <m:num>
                        <m:sSub>
                          <m:sSubPr>
                            <m:ctrlPr>
                              <a:rPr lang="en-US" sz="1100" b="0" i="1">
                                <a:solidFill>
                                  <a:srgbClr val="FF0000"/>
                                </a:solidFill>
                                <a:latin typeface="Cambria Math" panose="02040503050406030204" pitchFamily="18" charset="0"/>
                              </a:rPr>
                            </m:ctrlPr>
                          </m:sSubPr>
                          <m:e>
                            <m:r>
                              <a:rPr lang="en-US" sz="1100" b="0" i="1">
                                <a:solidFill>
                                  <a:srgbClr val="FF0000"/>
                                </a:solidFill>
                                <a:latin typeface="Cambria Math" panose="02040503050406030204" pitchFamily="18" charset="0"/>
                              </a:rPr>
                              <m:t>𝐼</m:t>
                            </m:r>
                          </m:e>
                          <m:sub>
                            <m:r>
                              <a:rPr lang="en-US" sz="1100" b="0" i="1">
                                <a:solidFill>
                                  <a:srgbClr val="FF0000"/>
                                </a:solidFill>
                                <a:latin typeface="Cambria Math" panose="02040503050406030204" pitchFamily="18" charset="0"/>
                              </a:rPr>
                              <m:t>0</m:t>
                            </m:r>
                          </m:sub>
                        </m:sSub>
                        <m:r>
                          <a:rPr lang="en-US" sz="1100" b="0" i="1">
                            <a:latin typeface="Cambria Math" panose="02040503050406030204" pitchFamily="18" charset="0"/>
                          </a:rPr>
                          <m:t>−</m:t>
                        </m:r>
                        <m:sSub>
                          <m:sSubPr>
                            <m:ctrlPr>
                              <a:rPr lang="en-US" sz="1100" b="0" i="1">
                                <a:solidFill>
                                  <a:srgbClr val="00B0F0"/>
                                </a:solidFill>
                                <a:latin typeface="Cambria Math" panose="02040503050406030204" pitchFamily="18" charset="0"/>
                              </a:rPr>
                            </m:ctrlPr>
                          </m:sSubPr>
                          <m:e>
                            <m:r>
                              <a:rPr lang="en-US" sz="1100" b="0" i="1">
                                <a:solidFill>
                                  <a:srgbClr val="00B0F0"/>
                                </a:solidFill>
                                <a:latin typeface="Cambria Math" panose="02040503050406030204" pitchFamily="18" charset="0"/>
                              </a:rPr>
                              <m:t>𝐼</m:t>
                            </m:r>
                          </m:e>
                          <m:sub>
                            <m:r>
                              <a:rPr lang="en-US" sz="1100" b="0" i="1">
                                <a:solidFill>
                                  <a:srgbClr val="00B0F0"/>
                                </a:solidFill>
                                <a:latin typeface="Cambria Math" panose="02040503050406030204" pitchFamily="18" charset="0"/>
                              </a:rPr>
                              <m:t>𝐺</m:t>
                            </m:r>
                          </m:sub>
                        </m:sSub>
                      </m:num>
                      <m:den>
                        <m:r>
                          <a:rPr lang="en-US" sz="1100" b="0" i="1">
                            <a:solidFill>
                              <a:srgbClr val="00B050"/>
                            </a:solidFill>
                            <a:latin typeface="Cambria Math" panose="02040503050406030204" pitchFamily="18" charset="0"/>
                          </a:rPr>
                          <m:t>𝑛</m:t>
                        </m:r>
                      </m:den>
                    </m:f>
                    <m:r>
                      <a:rPr lang="he-IL" sz="1100" b="0" i="1">
                        <a:latin typeface="Cambria Math" panose="02040503050406030204" pitchFamily="18" charset="0"/>
                      </a:rPr>
                      <m:t>=</m:t>
                    </m:r>
                    <m:f>
                      <m:fPr>
                        <m:ctrlPr>
                          <a:rPr lang="he-IL" sz="1100" b="0" i="1">
                            <a:solidFill>
                              <a:srgbClr val="FF0000"/>
                            </a:solidFill>
                            <a:latin typeface="Cambria Math" panose="02040503050406030204" pitchFamily="18" charset="0"/>
                          </a:rPr>
                        </m:ctrlPr>
                      </m:fPr>
                      <m:num>
                        <m:r>
                          <a:rPr lang="he-IL" sz="1100" b="0" i="1">
                            <a:solidFill>
                              <a:srgbClr val="FF0000"/>
                            </a:solidFill>
                            <a:latin typeface="Cambria Math" panose="02040503050406030204" pitchFamily="18" charset="0"/>
                          </a:rPr>
                          <m:t>100,000</m:t>
                        </m:r>
                        <m:r>
                          <a:rPr lang="he-IL" sz="1100" b="0" i="1">
                            <a:latin typeface="Cambria Math" panose="02040503050406030204" pitchFamily="18" charset="0"/>
                          </a:rPr>
                          <m:t>−</m:t>
                        </m:r>
                        <m:r>
                          <a:rPr lang="he-IL" sz="1100" b="0" i="1">
                            <a:solidFill>
                              <a:srgbClr val="00B0F0"/>
                            </a:solidFill>
                            <a:latin typeface="Cambria Math" panose="02040503050406030204" pitchFamily="18" charset="0"/>
                          </a:rPr>
                          <m:t>0</m:t>
                        </m:r>
                      </m:num>
                      <m:den>
                        <m:r>
                          <a:rPr lang="he-IL" sz="1100" b="0" i="1">
                            <a:solidFill>
                              <a:srgbClr val="00B050"/>
                            </a:solidFill>
                            <a:latin typeface="Cambria Math" panose="02040503050406030204" pitchFamily="18" charset="0"/>
                          </a:rPr>
                          <m:t>10</m:t>
                        </m:r>
                      </m:den>
                    </m:f>
                    <m:r>
                      <a:rPr lang="he-IL" sz="1100" b="0" i="1">
                        <a:latin typeface="Cambria Math" panose="02040503050406030204" pitchFamily="18" charset="0"/>
                      </a:rPr>
                      <m:t>=10,000</m:t>
                    </m:r>
                  </m:oMath>
                </m:oMathPara>
              </a14:m>
              <a:endParaRPr lang="en-US" sz="1100"/>
            </a:p>
          </xdr:txBody>
        </xdr:sp>
      </mc:Choice>
      <mc:Fallback xmlns="">
        <xdr:sp macro="" textlink="">
          <xdr:nvSpPr>
            <xdr:cNvPr id="73" name="TextBox 72">
              <a:extLst>
                <a:ext uri="{FF2B5EF4-FFF2-40B4-BE49-F238E27FC236}">
                  <a16:creationId xmlns:a16="http://schemas.microsoft.com/office/drawing/2014/main" id="{8A1665AB-7CC8-C84D-BBC2-46FA2F34578D}"/>
                </a:ext>
              </a:extLst>
            </xdr:cNvPr>
            <xdr:cNvSpPr txBox="1"/>
          </xdr:nvSpPr>
          <xdr:spPr>
            <a:xfrm>
              <a:off x="13519632482" y="56394350"/>
              <a:ext cx="330846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a:t>
              </a:r>
              <a:r>
                <a:rPr lang="he-IL" sz="1100" b="0" i="0">
                  <a:latin typeface="Cambria Math" panose="02040503050406030204" pitchFamily="18" charset="0"/>
                </a:rPr>
                <a:t>(</a:t>
              </a:r>
              <a:r>
                <a:rPr lang="en-US" sz="1100" b="0" i="0">
                  <a:solidFill>
                    <a:srgbClr val="FF0000"/>
                  </a:solidFill>
                  <a:latin typeface="Cambria Math" panose="02040503050406030204" pitchFamily="18" charset="0"/>
                </a:rPr>
                <a:t>𝐼_0</a:t>
              </a:r>
              <a:r>
                <a:rPr lang="en-US" sz="1100" b="0" i="0">
                  <a:latin typeface="Cambria Math" panose="02040503050406030204" pitchFamily="18" charset="0"/>
                </a:rPr>
                <a:t>−</a:t>
              </a:r>
              <a:r>
                <a:rPr lang="en-US" sz="1100" b="0" i="0">
                  <a:solidFill>
                    <a:srgbClr val="00B0F0"/>
                  </a:solidFill>
                  <a:latin typeface="Cambria Math" panose="02040503050406030204" pitchFamily="18" charset="0"/>
                </a:rPr>
                <a:t>𝐼_𝐺</a:t>
              </a:r>
              <a:r>
                <a:rPr lang="he-IL" sz="1100" b="0" i="0">
                  <a:solidFill>
                    <a:srgbClr val="00B0F0"/>
                  </a:solidFill>
                  <a:latin typeface="Cambria Math" panose="02040503050406030204" pitchFamily="18" charset="0"/>
                </a:rPr>
                <a:t>)/</a:t>
              </a:r>
              <a:r>
                <a:rPr lang="en-US" sz="1100" b="0" i="0">
                  <a:solidFill>
                    <a:srgbClr val="00B050"/>
                  </a:solidFill>
                  <a:latin typeface="Cambria Math" panose="02040503050406030204" pitchFamily="18" charset="0"/>
                </a:rPr>
                <a:t>𝑛</a:t>
              </a:r>
              <a:r>
                <a:rPr lang="he-IL" sz="1100" b="0" i="0">
                  <a:latin typeface="Cambria Math" panose="02040503050406030204" pitchFamily="18" charset="0"/>
                </a:rPr>
                <a:t>=(</a:t>
              </a:r>
              <a:r>
                <a:rPr lang="he-IL" sz="1100" b="0" i="0">
                  <a:solidFill>
                    <a:srgbClr val="FF0000"/>
                  </a:solidFill>
                  <a:latin typeface="Cambria Math" panose="02040503050406030204" pitchFamily="18" charset="0"/>
                </a:rPr>
                <a:t>100,000</a:t>
              </a:r>
              <a:r>
                <a:rPr lang="he-IL" sz="1100" b="0" i="0">
                  <a:latin typeface="Cambria Math" panose="02040503050406030204" pitchFamily="18" charset="0"/>
                </a:rPr>
                <a:t>−</a:t>
              </a:r>
              <a:r>
                <a:rPr lang="he-IL" sz="1100" b="0" i="0">
                  <a:solidFill>
                    <a:srgbClr val="00B0F0"/>
                  </a:solidFill>
                  <a:latin typeface="Cambria Math" panose="02040503050406030204" pitchFamily="18" charset="0"/>
                </a:rPr>
                <a:t>0)/</a:t>
              </a:r>
              <a:r>
                <a:rPr lang="he-IL" sz="1100" b="0" i="0">
                  <a:solidFill>
                    <a:srgbClr val="00B050"/>
                  </a:solidFill>
                  <a:latin typeface="Cambria Math" panose="02040503050406030204" pitchFamily="18" charset="0"/>
                </a:rPr>
                <a:t>10</a:t>
              </a:r>
              <a:r>
                <a:rPr lang="he-IL" sz="1100" b="0" i="0">
                  <a:latin typeface="Cambria Math" panose="02040503050406030204" pitchFamily="18" charset="0"/>
                </a:rPr>
                <a:t>=10,000</a:t>
              </a:r>
              <a:endParaRPr lang="en-US" sz="1100"/>
            </a:p>
          </xdr:txBody>
        </xdr:sp>
      </mc:Fallback>
    </mc:AlternateContent>
    <xdr:clientData/>
  </xdr:oneCellAnchor>
  <xdr:oneCellAnchor>
    <xdr:from>
      <xdr:col>5</xdr:col>
      <xdr:colOff>392254</xdr:colOff>
      <xdr:row>104</xdr:row>
      <xdr:rowOff>46065</xdr:rowOff>
    </xdr:from>
    <xdr:ext cx="2855829" cy="2523449"/>
    <xdr:pic>
      <xdr:nvPicPr>
        <xdr:cNvPr id="74" name="Picture 73">
          <a:extLst>
            <a:ext uri="{FF2B5EF4-FFF2-40B4-BE49-F238E27FC236}">
              <a16:creationId xmlns:a16="http://schemas.microsoft.com/office/drawing/2014/main" id="{D73A42E4-4C34-AA43-B14A-7D3B4061494E}"/>
            </a:ext>
          </a:extLst>
        </xdr:cNvPr>
        <xdr:cNvPicPr>
          <a:picLocks noChangeAspect="1"/>
        </xdr:cNvPicPr>
      </xdr:nvPicPr>
      <xdr:blipFill>
        <a:blip xmlns:r="http://schemas.openxmlformats.org/officeDocument/2006/relationships" r:embed="rId6"/>
        <a:stretch>
          <a:fillRect/>
        </a:stretch>
      </xdr:blipFill>
      <xdr:spPr>
        <a:xfrm>
          <a:off x="13530781816" y="21253457"/>
          <a:ext cx="2855829" cy="2523449"/>
        </a:xfrm>
        <a:prstGeom prst="rect">
          <a:avLst/>
        </a:prstGeom>
      </xdr:spPr>
    </xdr:pic>
    <xdr:clientData/>
  </xdr:oneCellAnchor>
  <xdr:oneCellAnchor>
    <xdr:from>
      <xdr:col>4</xdr:col>
      <xdr:colOff>168883</xdr:colOff>
      <xdr:row>149</xdr:row>
      <xdr:rowOff>141862</xdr:rowOff>
    </xdr:from>
    <xdr:ext cx="3308468" cy="321498"/>
    <mc:AlternateContent xmlns:mc="http://schemas.openxmlformats.org/markup-compatibility/2006" xmlns:a14="http://schemas.microsoft.com/office/drawing/2010/main">
      <mc:Choice Requires="a14">
        <xdr:sp macro="" textlink="">
          <xdr:nvSpPr>
            <xdr:cNvPr id="75" name="TextBox 74">
              <a:extLst>
                <a:ext uri="{FF2B5EF4-FFF2-40B4-BE49-F238E27FC236}">
                  <a16:creationId xmlns:a16="http://schemas.microsoft.com/office/drawing/2014/main" id="{DC2C9FE9-BE5B-AF45-A2A7-6DCF88A0412A}"/>
                </a:ext>
              </a:extLst>
            </xdr:cNvPr>
            <xdr:cNvSpPr txBox="1"/>
          </xdr:nvSpPr>
          <xdr:spPr>
            <a:xfrm>
              <a:off x="13518212649" y="72011162"/>
              <a:ext cx="3308468" cy="3214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r>
                      <a:rPr lang="en-US" sz="1100" b="0" i="1">
                        <a:latin typeface="Cambria Math" panose="02040503050406030204" pitchFamily="18" charset="0"/>
                      </a:rPr>
                      <m:t>=</m:t>
                    </m:r>
                    <m:f>
                      <m:fPr>
                        <m:ctrlPr>
                          <a:rPr lang="en-US" sz="1100" b="0" i="1">
                            <a:solidFill>
                              <a:srgbClr val="FF0000"/>
                            </a:solidFill>
                            <a:latin typeface="Cambria Math" panose="02040503050406030204" pitchFamily="18" charset="0"/>
                          </a:rPr>
                        </m:ctrlPr>
                      </m:fPr>
                      <m:num>
                        <m:sSub>
                          <m:sSubPr>
                            <m:ctrlPr>
                              <a:rPr lang="en-US" sz="1100" b="0" i="1">
                                <a:solidFill>
                                  <a:srgbClr val="FF0000"/>
                                </a:solidFill>
                                <a:latin typeface="Cambria Math" panose="02040503050406030204" pitchFamily="18" charset="0"/>
                              </a:rPr>
                            </m:ctrlPr>
                          </m:sSubPr>
                          <m:e>
                            <m:r>
                              <a:rPr lang="en-US" sz="1100" b="0" i="1">
                                <a:solidFill>
                                  <a:srgbClr val="FF0000"/>
                                </a:solidFill>
                                <a:latin typeface="Cambria Math" panose="02040503050406030204" pitchFamily="18" charset="0"/>
                              </a:rPr>
                              <m:t>𝐼</m:t>
                            </m:r>
                          </m:e>
                          <m:sub>
                            <m:r>
                              <a:rPr lang="en-US" sz="1100" b="0" i="1">
                                <a:solidFill>
                                  <a:srgbClr val="FF0000"/>
                                </a:solidFill>
                                <a:latin typeface="Cambria Math" panose="02040503050406030204" pitchFamily="18" charset="0"/>
                              </a:rPr>
                              <m:t>0</m:t>
                            </m:r>
                          </m:sub>
                        </m:sSub>
                        <m:r>
                          <a:rPr lang="en-US" sz="1100" b="0" i="1">
                            <a:latin typeface="Cambria Math" panose="02040503050406030204" pitchFamily="18" charset="0"/>
                          </a:rPr>
                          <m:t>−</m:t>
                        </m:r>
                        <m:sSub>
                          <m:sSubPr>
                            <m:ctrlPr>
                              <a:rPr lang="en-US" sz="1100" b="0" i="1">
                                <a:solidFill>
                                  <a:srgbClr val="00B0F0"/>
                                </a:solidFill>
                                <a:latin typeface="Cambria Math" panose="02040503050406030204" pitchFamily="18" charset="0"/>
                              </a:rPr>
                            </m:ctrlPr>
                          </m:sSubPr>
                          <m:e>
                            <m:r>
                              <a:rPr lang="en-US" sz="1100" b="0" i="1">
                                <a:solidFill>
                                  <a:srgbClr val="00B0F0"/>
                                </a:solidFill>
                                <a:latin typeface="Cambria Math" panose="02040503050406030204" pitchFamily="18" charset="0"/>
                              </a:rPr>
                              <m:t>𝐼</m:t>
                            </m:r>
                          </m:e>
                          <m:sub>
                            <m:r>
                              <a:rPr lang="en-US" sz="1100" b="0" i="1">
                                <a:solidFill>
                                  <a:srgbClr val="00B0F0"/>
                                </a:solidFill>
                                <a:latin typeface="Cambria Math" panose="02040503050406030204" pitchFamily="18" charset="0"/>
                              </a:rPr>
                              <m:t>𝐺</m:t>
                            </m:r>
                          </m:sub>
                        </m:sSub>
                      </m:num>
                      <m:den>
                        <m:r>
                          <a:rPr lang="en-US" sz="1100" b="0" i="1">
                            <a:solidFill>
                              <a:srgbClr val="00B050"/>
                            </a:solidFill>
                            <a:latin typeface="Cambria Math" panose="02040503050406030204" pitchFamily="18" charset="0"/>
                          </a:rPr>
                          <m:t>𝑛</m:t>
                        </m:r>
                      </m:den>
                    </m:f>
                    <m:r>
                      <a:rPr lang="he-IL" sz="1100" b="0" i="1">
                        <a:latin typeface="Cambria Math" panose="02040503050406030204" pitchFamily="18" charset="0"/>
                      </a:rPr>
                      <m:t>=</m:t>
                    </m:r>
                    <m:f>
                      <m:fPr>
                        <m:ctrlPr>
                          <a:rPr lang="he-IL" sz="1100" b="0" i="1">
                            <a:solidFill>
                              <a:srgbClr val="FF0000"/>
                            </a:solidFill>
                            <a:latin typeface="Cambria Math" panose="02040503050406030204" pitchFamily="18" charset="0"/>
                          </a:rPr>
                        </m:ctrlPr>
                      </m:fPr>
                      <m:num>
                        <m:r>
                          <a:rPr lang="he-IL" sz="1100" b="0" i="1">
                            <a:solidFill>
                              <a:srgbClr val="FF0000"/>
                            </a:solidFill>
                            <a:latin typeface="Cambria Math" panose="02040503050406030204" pitchFamily="18" charset="0"/>
                          </a:rPr>
                          <m:t>165,000</m:t>
                        </m:r>
                        <m:r>
                          <a:rPr lang="he-IL" sz="1100" b="0" i="1">
                            <a:latin typeface="Cambria Math" panose="02040503050406030204" pitchFamily="18" charset="0"/>
                          </a:rPr>
                          <m:t>−</m:t>
                        </m:r>
                        <m:r>
                          <a:rPr lang="he-IL" sz="1100" b="0" i="1">
                            <a:solidFill>
                              <a:srgbClr val="00B0F0"/>
                            </a:solidFill>
                            <a:latin typeface="Cambria Math" panose="02040503050406030204" pitchFamily="18" charset="0"/>
                          </a:rPr>
                          <m:t>10,000</m:t>
                        </m:r>
                      </m:num>
                      <m:den>
                        <m:r>
                          <a:rPr lang="he-IL" sz="1100" b="0" i="1">
                            <a:solidFill>
                              <a:srgbClr val="00B050"/>
                            </a:solidFill>
                            <a:latin typeface="Cambria Math" panose="02040503050406030204" pitchFamily="18" charset="0"/>
                          </a:rPr>
                          <m:t>10</m:t>
                        </m:r>
                      </m:den>
                    </m:f>
                    <m:r>
                      <a:rPr lang="he-IL" sz="1100" b="0" i="1">
                        <a:latin typeface="Cambria Math" panose="02040503050406030204" pitchFamily="18" charset="0"/>
                      </a:rPr>
                      <m:t>=15,500</m:t>
                    </m:r>
                  </m:oMath>
                </m:oMathPara>
              </a14:m>
              <a:endParaRPr lang="en-US" sz="1100"/>
            </a:p>
          </xdr:txBody>
        </xdr:sp>
      </mc:Choice>
      <mc:Fallback xmlns="">
        <xdr:sp macro="" textlink="">
          <xdr:nvSpPr>
            <xdr:cNvPr id="75" name="TextBox 74">
              <a:extLst>
                <a:ext uri="{FF2B5EF4-FFF2-40B4-BE49-F238E27FC236}">
                  <a16:creationId xmlns:a16="http://schemas.microsoft.com/office/drawing/2014/main" id="{DC2C9FE9-BE5B-AF45-A2A7-6DCF88A0412A}"/>
                </a:ext>
              </a:extLst>
            </xdr:cNvPr>
            <xdr:cNvSpPr txBox="1"/>
          </xdr:nvSpPr>
          <xdr:spPr>
            <a:xfrm>
              <a:off x="13518212649" y="72011162"/>
              <a:ext cx="3308468" cy="3214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a:t>
              </a:r>
              <a:r>
                <a:rPr lang="he-IL" sz="1100" b="0" i="0">
                  <a:latin typeface="Cambria Math" panose="02040503050406030204" pitchFamily="18" charset="0"/>
                </a:rPr>
                <a:t>(</a:t>
              </a:r>
              <a:r>
                <a:rPr lang="en-US" sz="1100" b="0" i="0">
                  <a:solidFill>
                    <a:srgbClr val="FF0000"/>
                  </a:solidFill>
                  <a:latin typeface="Cambria Math" panose="02040503050406030204" pitchFamily="18" charset="0"/>
                </a:rPr>
                <a:t>𝐼_0</a:t>
              </a:r>
              <a:r>
                <a:rPr lang="en-US" sz="1100" b="0" i="0">
                  <a:latin typeface="Cambria Math" panose="02040503050406030204" pitchFamily="18" charset="0"/>
                </a:rPr>
                <a:t>−</a:t>
              </a:r>
              <a:r>
                <a:rPr lang="en-US" sz="1100" b="0" i="0">
                  <a:solidFill>
                    <a:srgbClr val="00B0F0"/>
                  </a:solidFill>
                  <a:latin typeface="Cambria Math" panose="02040503050406030204" pitchFamily="18" charset="0"/>
                </a:rPr>
                <a:t>𝐼_𝐺</a:t>
              </a:r>
              <a:r>
                <a:rPr lang="he-IL" sz="1100" b="0" i="0">
                  <a:solidFill>
                    <a:srgbClr val="00B0F0"/>
                  </a:solidFill>
                  <a:latin typeface="Cambria Math" panose="02040503050406030204" pitchFamily="18" charset="0"/>
                </a:rPr>
                <a:t>)/</a:t>
              </a:r>
              <a:r>
                <a:rPr lang="en-US" sz="1100" b="0" i="0">
                  <a:solidFill>
                    <a:srgbClr val="00B050"/>
                  </a:solidFill>
                  <a:latin typeface="Cambria Math" panose="02040503050406030204" pitchFamily="18" charset="0"/>
                </a:rPr>
                <a:t>𝑛</a:t>
              </a:r>
              <a:r>
                <a:rPr lang="he-IL" sz="1100" b="0" i="0">
                  <a:latin typeface="Cambria Math" panose="02040503050406030204" pitchFamily="18" charset="0"/>
                </a:rPr>
                <a:t>=(</a:t>
              </a:r>
              <a:r>
                <a:rPr lang="he-IL" sz="1100" b="0" i="0">
                  <a:solidFill>
                    <a:srgbClr val="FF0000"/>
                  </a:solidFill>
                  <a:latin typeface="Cambria Math" panose="02040503050406030204" pitchFamily="18" charset="0"/>
                </a:rPr>
                <a:t>165,000</a:t>
              </a:r>
              <a:r>
                <a:rPr lang="he-IL" sz="1100" b="0" i="0">
                  <a:latin typeface="Cambria Math" panose="02040503050406030204" pitchFamily="18" charset="0"/>
                </a:rPr>
                <a:t>−</a:t>
              </a:r>
              <a:r>
                <a:rPr lang="he-IL" sz="1100" b="0" i="0">
                  <a:solidFill>
                    <a:srgbClr val="00B0F0"/>
                  </a:solidFill>
                  <a:latin typeface="Cambria Math" panose="02040503050406030204" pitchFamily="18" charset="0"/>
                </a:rPr>
                <a:t>10,000)/</a:t>
              </a:r>
              <a:r>
                <a:rPr lang="he-IL" sz="1100" b="0" i="0">
                  <a:solidFill>
                    <a:srgbClr val="00B050"/>
                  </a:solidFill>
                  <a:latin typeface="Cambria Math" panose="02040503050406030204" pitchFamily="18" charset="0"/>
                </a:rPr>
                <a:t>10</a:t>
              </a:r>
              <a:r>
                <a:rPr lang="he-IL" sz="1100" b="0" i="0">
                  <a:latin typeface="Cambria Math" panose="02040503050406030204" pitchFamily="18" charset="0"/>
                </a:rPr>
                <a:t>=15,500</a:t>
              </a:r>
              <a:endParaRPr lang="en-US" sz="1100"/>
            </a:p>
          </xdr:txBody>
        </xdr:sp>
      </mc:Fallback>
    </mc:AlternateContent>
    <xdr:clientData/>
  </xdr:oneCellAnchor>
  <xdr:oneCellAnchor>
    <xdr:from>
      <xdr:col>4</xdr:col>
      <xdr:colOff>770106</xdr:colOff>
      <xdr:row>160</xdr:row>
      <xdr:rowOff>67553</xdr:rowOff>
    </xdr:from>
    <xdr:ext cx="2355969" cy="320344"/>
    <mc:AlternateContent xmlns:mc="http://schemas.openxmlformats.org/markup-compatibility/2006" xmlns:a14="http://schemas.microsoft.com/office/drawing/2010/main">
      <mc:Choice Requires="a14">
        <xdr:sp macro="" textlink="">
          <xdr:nvSpPr>
            <xdr:cNvPr id="76" name="TextBox 75">
              <a:extLst>
                <a:ext uri="{FF2B5EF4-FFF2-40B4-BE49-F238E27FC236}">
                  <a16:creationId xmlns:a16="http://schemas.microsoft.com/office/drawing/2014/main" id="{9A73BA1B-4DA9-1543-8E24-6FA307389367}"/>
                </a:ext>
              </a:extLst>
            </xdr:cNvPr>
            <xdr:cNvSpPr txBox="1"/>
          </xdr:nvSpPr>
          <xdr:spPr>
            <a:xfrm>
              <a:off x="13518563925" y="74172053"/>
              <a:ext cx="2355969" cy="320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he-IL" sz="1100" b="0" i="1">
                            <a:latin typeface="Cambria Math" panose="02040503050406030204" pitchFamily="18" charset="0"/>
                          </a:rPr>
                        </m:ctrlPr>
                      </m:dPr>
                      <m:e>
                        <m:r>
                          <a:rPr lang="he-IL" sz="1100" b="0" i="1">
                            <a:latin typeface="Cambria Math" panose="02040503050406030204" pitchFamily="18" charset="0"/>
                          </a:rPr>
                          <m:t>2013</m:t>
                        </m:r>
                      </m:e>
                    </m:d>
                    <m:r>
                      <a:rPr lang="he-IL"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15,500</m:t>
                        </m:r>
                      </m:num>
                      <m:den>
                        <m:r>
                          <a:rPr lang="he-IL" sz="1100" b="0" i="1">
                            <a:latin typeface="Cambria Math" panose="02040503050406030204" pitchFamily="18" charset="0"/>
                          </a:rPr>
                          <m:t>12</m:t>
                        </m:r>
                      </m:den>
                    </m:f>
                    <m:r>
                      <a:rPr lang="he-IL" sz="1100" b="0" i="1">
                        <a:latin typeface="Cambria Math" panose="02040503050406030204" pitchFamily="18" charset="0"/>
                      </a:rPr>
                      <m:t>∗8=10,333.33</m:t>
                    </m:r>
                  </m:oMath>
                </m:oMathPara>
              </a14:m>
              <a:endParaRPr lang="en-US" sz="1100"/>
            </a:p>
          </xdr:txBody>
        </xdr:sp>
      </mc:Choice>
      <mc:Fallback xmlns="">
        <xdr:sp macro="" textlink="">
          <xdr:nvSpPr>
            <xdr:cNvPr id="76" name="TextBox 75">
              <a:extLst>
                <a:ext uri="{FF2B5EF4-FFF2-40B4-BE49-F238E27FC236}">
                  <a16:creationId xmlns:a16="http://schemas.microsoft.com/office/drawing/2014/main" id="{9A73BA1B-4DA9-1543-8E24-6FA307389367}"/>
                </a:ext>
              </a:extLst>
            </xdr:cNvPr>
            <xdr:cNvSpPr txBox="1"/>
          </xdr:nvSpPr>
          <xdr:spPr>
            <a:xfrm>
              <a:off x="13518563925" y="74172053"/>
              <a:ext cx="2355969" cy="320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a:t>
              </a:r>
              <a:r>
                <a:rPr lang="he-IL" sz="1100" b="0" i="0">
                  <a:latin typeface="Cambria Math" panose="02040503050406030204" pitchFamily="18" charset="0"/>
                </a:rPr>
                <a:t>(2013)=15,500/12∗8=10,333.33</a:t>
              </a:r>
              <a:endParaRPr lang="en-US" sz="1100"/>
            </a:p>
          </xdr:txBody>
        </xdr:sp>
      </mc:Fallback>
    </mc:AlternateContent>
    <xdr:clientData/>
  </xdr:oneCellAnchor>
  <xdr:oneCellAnchor>
    <xdr:from>
      <xdr:col>5</xdr:col>
      <xdr:colOff>40531</xdr:colOff>
      <xdr:row>175</xdr:row>
      <xdr:rowOff>94576</xdr:rowOff>
    </xdr:from>
    <xdr:ext cx="2355969" cy="320344"/>
    <mc:AlternateContent xmlns:mc="http://schemas.openxmlformats.org/markup-compatibility/2006" xmlns:a14="http://schemas.microsoft.com/office/drawing/2010/main">
      <mc:Choice Requires="a14">
        <xdr:sp macro="" textlink="">
          <xdr:nvSpPr>
            <xdr:cNvPr id="77" name="TextBox 76">
              <a:extLst>
                <a:ext uri="{FF2B5EF4-FFF2-40B4-BE49-F238E27FC236}">
                  <a16:creationId xmlns:a16="http://schemas.microsoft.com/office/drawing/2014/main" id="{E97CE9DF-63D1-124F-81C2-17FDDE362BA5}"/>
                </a:ext>
              </a:extLst>
            </xdr:cNvPr>
            <xdr:cNvSpPr txBox="1"/>
          </xdr:nvSpPr>
          <xdr:spPr>
            <a:xfrm>
              <a:off x="13518468000" y="77247076"/>
              <a:ext cx="2355969" cy="320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he-IL" sz="1100" b="0" i="1">
                            <a:latin typeface="Cambria Math" panose="02040503050406030204" pitchFamily="18" charset="0"/>
                          </a:rPr>
                        </m:ctrlPr>
                      </m:dPr>
                      <m:e>
                        <m:r>
                          <a:rPr lang="he-IL" sz="1100" b="0" i="1">
                            <a:latin typeface="Cambria Math" panose="02040503050406030204" pitchFamily="18" charset="0"/>
                          </a:rPr>
                          <m:t>2017</m:t>
                        </m:r>
                      </m:e>
                    </m:d>
                    <m:r>
                      <a:rPr lang="he-IL"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15,500</m:t>
                        </m:r>
                      </m:num>
                      <m:den>
                        <m:r>
                          <a:rPr lang="he-IL" sz="1100" b="0" i="1">
                            <a:latin typeface="Cambria Math" panose="02040503050406030204" pitchFamily="18" charset="0"/>
                          </a:rPr>
                          <m:t>12</m:t>
                        </m:r>
                      </m:den>
                    </m:f>
                    <m:r>
                      <a:rPr lang="he-IL" sz="1100" b="0" i="1">
                        <a:latin typeface="Cambria Math" panose="02040503050406030204" pitchFamily="18" charset="0"/>
                      </a:rPr>
                      <m:t>∗6=7,750</m:t>
                    </m:r>
                  </m:oMath>
                </m:oMathPara>
              </a14:m>
              <a:endParaRPr lang="en-US" sz="1100"/>
            </a:p>
          </xdr:txBody>
        </xdr:sp>
      </mc:Choice>
      <mc:Fallback xmlns="">
        <xdr:sp macro="" textlink="">
          <xdr:nvSpPr>
            <xdr:cNvPr id="77" name="TextBox 76">
              <a:extLst>
                <a:ext uri="{FF2B5EF4-FFF2-40B4-BE49-F238E27FC236}">
                  <a16:creationId xmlns:a16="http://schemas.microsoft.com/office/drawing/2014/main" id="{E97CE9DF-63D1-124F-81C2-17FDDE362BA5}"/>
                </a:ext>
              </a:extLst>
            </xdr:cNvPr>
            <xdr:cNvSpPr txBox="1"/>
          </xdr:nvSpPr>
          <xdr:spPr>
            <a:xfrm>
              <a:off x="13518468000" y="77247076"/>
              <a:ext cx="2355969" cy="320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a:t>
              </a:r>
              <a:r>
                <a:rPr lang="he-IL" sz="1100" b="0" i="0">
                  <a:latin typeface="Cambria Math" panose="02040503050406030204" pitchFamily="18" charset="0"/>
                </a:rPr>
                <a:t>(2017)=15,500/12∗6=7,750</a:t>
              </a:r>
              <a:endParaRPr lang="en-US" sz="1100"/>
            </a:p>
          </xdr:txBody>
        </xdr:sp>
      </mc:Fallback>
    </mc:AlternateContent>
    <xdr:clientData/>
  </xdr:oneCellAnchor>
  <xdr:oneCellAnchor>
    <xdr:from>
      <xdr:col>0</xdr:col>
      <xdr:colOff>0</xdr:colOff>
      <xdr:row>194</xdr:row>
      <xdr:rowOff>21967</xdr:rowOff>
    </xdr:from>
    <xdr:ext cx="4685628" cy="2019715"/>
    <xdr:pic>
      <xdr:nvPicPr>
        <xdr:cNvPr id="78" name="Picture 77">
          <a:extLst>
            <a:ext uri="{FF2B5EF4-FFF2-40B4-BE49-F238E27FC236}">
              <a16:creationId xmlns:a16="http://schemas.microsoft.com/office/drawing/2014/main" id="{C0C0288B-C960-694C-A17C-763D456FEC95}"/>
            </a:ext>
          </a:extLst>
        </xdr:cNvPr>
        <xdr:cNvPicPr>
          <a:picLocks noChangeAspect="1"/>
        </xdr:cNvPicPr>
      </xdr:nvPicPr>
      <xdr:blipFill>
        <a:blip xmlns:r="http://schemas.openxmlformats.org/officeDocument/2006/relationships" r:embed="rId7"/>
        <a:stretch>
          <a:fillRect/>
        </a:stretch>
      </xdr:blipFill>
      <xdr:spPr>
        <a:xfrm>
          <a:off x="13520306372" y="81035267"/>
          <a:ext cx="4685628" cy="2019715"/>
        </a:xfrm>
        <a:prstGeom prst="rect">
          <a:avLst/>
        </a:prstGeom>
      </xdr:spPr>
    </xdr:pic>
    <xdr:clientData/>
  </xdr:oneCellAnchor>
  <xdr:twoCellAnchor>
    <xdr:from>
      <xdr:col>0</xdr:col>
      <xdr:colOff>87819</xdr:colOff>
      <xdr:row>201</xdr:row>
      <xdr:rowOff>67554</xdr:rowOff>
    </xdr:from>
    <xdr:to>
      <xdr:col>1</xdr:col>
      <xdr:colOff>94574</xdr:colOff>
      <xdr:row>202</xdr:row>
      <xdr:rowOff>13511</xdr:rowOff>
    </xdr:to>
    <xdr:sp macro="" textlink="">
      <xdr:nvSpPr>
        <xdr:cNvPr id="79" name="Rectangle 78">
          <a:extLst>
            <a:ext uri="{FF2B5EF4-FFF2-40B4-BE49-F238E27FC236}">
              <a16:creationId xmlns:a16="http://schemas.microsoft.com/office/drawing/2014/main" id="{FBBECE4D-99EB-8B48-A910-EF3BA6276A7A}"/>
            </a:ext>
          </a:extLst>
        </xdr:cNvPr>
        <xdr:cNvSpPr/>
      </xdr:nvSpPr>
      <xdr:spPr>
        <a:xfrm>
          <a:off x="13524071926" y="82503254"/>
          <a:ext cx="832255" cy="14915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oneCellAnchor>
    <xdr:from>
      <xdr:col>3</xdr:col>
      <xdr:colOff>432340</xdr:colOff>
      <xdr:row>233</xdr:row>
      <xdr:rowOff>39316</xdr:rowOff>
    </xdr:from>
    <xdr:ext cx="3023260" cy="321435"/>
    <mc:AlternateContent xmlns:mc="http://schemas.openxmlformats.org/markup-compatibility/2006" xmlns:a14="http://schemas.microsoft.com/office/drawing/2010/main">
      <mc:Choice Requires="a14">
        <xdr:sp macro="" textlink="">
          <xdr:nvSpPr>
            <xdr:cNvPr id="80" name="TextBox 79">
              <a:extLst>
                <a:ext uri="{FF2B5EF4-FFF2-40B4-BE49-F238E27FC236}">
                  <a16:creationId xmlns:a16="http://schemas.microsoft.com/office/drawing/2014/main" id="{13F3BFDB-E7F3-F045-AF86-7FF28D5F7FD3}"/>
                </a:ext>
              </a:extLst>
            </xdr:cNvPr>
            <xdr:cNvSpPr txBox="1"/>
          </xdr:nvSpPr>
          <xdr:spPr>
            <a:xfrm>
              <a:off x="13519059900" y="88977416"/>
              <a:ext cx="3023260" cy="3214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r>
                      <a:rPr lang="en-US" sz="1100" b="0" i="1">
                        <a:latin typeface="Cambria Math" panose="02040503050406030204" pitchFamily="18" charset="0"/>
                      </a:rPr>
                      <m:t>=</m:t>
                    </m:r>
                    <m:f>
                      <m:fPr>
                        <m:ctrlPr>
                          <a:rPr lang="en-US" sz="1100" b="0" i="1">
                            <a:latin typeface="Cambria Math" panose="02040503050406030204" pitchFamily="18" charset="0"/>
                          </a:rPr>
                        </m:ctrlPr>
                      </m:fPr>
                      <m:num>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0</m:t>
                            </m:r>
                          </m:sub>
                        </m:sSub>
                        <m:r>
                          <a:rPr lang="en-US" sz="1100" b="0" i="1">
                            <a:latin typeface="Cambria Math" panose="02040503050406030204" pitchFamily="18" charset="0"/>
                          </a:rPr>
                          <m:t>−</m:t>
                        </m:r>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𝐺</m:t>
                            </m:r>
                          </m:sub>
                        </m:sSub>
                      </m:num>
                      <m:den>
                        <m:r>
                          <a:rPr lang="en-US" sz="1100" b="0" i="1">
                            <a:latin typeface="Cambria Math" panose="02040503050406030204" pitchFamily="18" charset="0"/>
                          </a:rPr>
                          <m:t>𝑛</m:t>
                        </m:r>
                      </m:den>
                    </m:f>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4,500−1,500</m:t>
                        </m:r>
                      </m:num>
                      <m:den>
                        <m:r>
                          <a:rPr lang="en-US" sz="1100" b="0" i="1">
                            <a:latin typeface="Cambria Math" panose="02040503050406030204" pitchFamily="18" charset="0"/>
                          </a:rPr>
                          <m:t>5</m:t>
                        </m:r>
                      </m:den>
                    </m:f>
                    <m:r>
                      <a:rPr lang="en-US" sz="1100" b="0" i="1">
                        <a:latin typeface="Cambria Math" panose="02040503050406030204" pitchFamily="18" charset="0"/>
                      </a:rPr>
                      <m:t>=600</m:t>
                    </m:r>
                  </m:oMath>
                </m:oMathPara>
              </a14:m>
              <a:endParaRPr lang="en-US" sz="1100"/>
            </a:p>
          </xdr:txBody>
        </xdr:sp>
      </mc:Choice>
      <mc:Fallback xmlns="">
        <xdr:sp macro="" textlink="">
          <xdr:nvSpPr>
            <xdr:cNvPr id="80" name="TextBox 79">
              <a:extLst>
                <a:ext uri="{FF2B5EF4-FFF2-40B4-BE49-F238E27FC236}">
                  <a16:creationId xmlns:a16="http://schemas.microsoft.com/office/drawing/2014/main" id="{13F3BFDB-E7F3-F045-AF86-7FF28D5F7FD3}"/>
                </a:ext>
              </a:extLst>
            </xdr:cNvPr>
            <xdr:cNvSpPr txBox="1"/>
          </xdr:nvSpPr>
          <xdr:spPr>
            <a:xfrm>
              <a:off x="13519059900" y="88977416"/>
              <a:ext cx="3023260" cy="3214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𝐷=(𝐼_0−𝐼_𝐺)/𝑛=(4,500−1,500)/5=600</a:t>
              </a:r>
              <a:endParaRPr lang="en-US" sz="1100"/>
            </a:p>
          </xdr:txBody>
        </xdr:sp>
      </mc:Fallback>
    </mc:AlternateContent>
    <xdr:clientData/>
  </xdr:oneCellAnchor>
  <xdr:oneCellAnchor>
    <xdr:from>
      <xdr:col>3</xdr:col>
      <xdr:colOff>574201</xdr:colOff>
      <xdr:row>237</xdr:row>
      <xdr:rowOff>59582</xdr:rowOff>
    </xdr:from>
    <xdr:ext cx="3023260" cy="316882"/>
    <mc:AlternateContent xmlns:mc="http://schemas.openxmlformats.org/markup-compatibility/2006" xmlns:a14="http://schemas.microsoft.com/office/drawing/2010/main">
      <mc:Choice Requires="a14">
        <xdr:sp macro="" textlink="">
          <xdr:nvSpPr>
            <xdr:cNvPr id="81" name="TextBox 80">
              <a:extLst>
                <a:ext uri="{FF2B5EF4-FFF2-40B4-BE49-F238E27FC236}">
                  <a16:creationId xmlns:a16="http://schemas.microsoft.com/office/drawing/2014/main" id="{6C8BF565-2893-FB45-8C3E-3D9CD3097E35}"/>
                </a:ext>
              </a:extLst>
            </xdr:cNvPr>
            <xdr:cNvSpPr txBox="1"/>
          </xdr:nvSpPr>
          <xdr:spPr>
            <a:xfrm>
              <a:off x="13518918039" y="89810482"/>
              <a:ext cx="302326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he-IL" sz="1100" b="0" i="1">
                            <a:latin typeface="Cambria Math" panose="02040503050406030204" pitchFamily="18" charset="0"/>
                          </a:rPr>
                        </m:ctrlPr>
                      </m:dPr>
                      <m:e>
                        <m:r>
                          <a:rPr lang="he-IL" sz="1100" b="0" i="1">
                            <a:latin typeface="Cambria Math" panose="02040503050406030204" pitchFamily="18" charset="0"/>
                          </a:rPr>
                          <m:t>2014</m:t>
                        </m:r>
                      </m:e>
                    </m:d>
                    <m:r>
                      <a:rPr lang="he-IL"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600</m:t>
                        </m:r>
                      </m:num>
                      <m:den>
                        <m:r>
                          <a:rPr lang="he-IL" sz="1100" b="0" i="1">
                            <a:latin typeface="Cambria Math" panose="02040503050406030204" pitchFamily="18" charset="0"/>
                          </a:rPr>
                          <m:t>12</m:t>
                        </m:r>
                      </m:den>
                    </m:f>
                    <m:r>
                      <a:rPr lang="he-IL" sz="1100" b="0" i="1">
                        <a:latin typeface="Cambria Math" panose="02040503050406030204" pitchFamily="18" charset="0"/>
                      </a:rPr>
                      <m:t>∗11=550</m:t>
                    </m:r>
                  </m:oMath>
                </m:oMathPara>
              </a14:m>
              <a:endParaRPr lang="en-US" sz="1100"/>
            </a:p>
          </xdr:txBody>
        </xdr:sp>
      </mc:Choice>
      <mc:Fallback xmlns="">
        <xdr:sp macro="" textlink="">
          <xdr:nvSpPr>
            <xdr:cNvPr id="81" name="TextBox 80">
              <a:extLst>
                <a:ext uri="{FF2B5EF4-FFF2-40B4-BE49-F238E27FC236}">
                  <a16:creationId xmlns:a16="http://schemas.microsoft.com/office/drawing/2014/main" id="{6C8BF565-2893-FB45-8C3E-3D9CD3097E35}"/>
                </a:ext>
              </a:extLst>
            </xdr:cNvPr>
            <xdr:cNvSpPr txBox="1"/>
          </xdr:nvSpPr>
          <xdr:spPr>
            <a:xfrm>
              <a:off x="13518918039" y="89810482"/>
              <a:ext cx="302326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a:t>
              </a:r>
              <a:r>
                <a:rPr lang="he-IL" sz="1100" b="0" i="0">
                  <a:latin typeface="Cambria Math" panose="02040503050406030204" pitchFamily="18" charset="0"/>
                </a:rPr>
                <a:t>(2014)=600/12∗11=550</a:t>
              </a:r>
              <a:endParaRPr lang="en-US" sz="1100"/>
            </a:p>
          </xdr:txBody>
        </xdr:sp>
      </mc:Fallback>
    </mc:AlternateContent>
    <xdr:clientData/>
  </xdr:oneCellAnchor>
  <xdr:oneCellAnchor>
    <xdr:from>
      <xdr:col>3</xdr:col>
      <xdr:colOff>567446</xdr:colOff>
      <xdr:row>241</xdr:row>
      <xdr:rowOff>160912</xdr:rowOff>
    </xdr:from>
    <xdr:ext cx="3023260" cy="316882"/>
    <mc:AlternateContent xmlns:mc="http://schemas.openxmlformats.org/markup-compatibility/2006" xmlns:a14="http://schemas.microsoft.com/office/drawing/2010/main">
      <mc:Choice Requires="a14">
        <xdr:sp macro="" textlink="">
          <xdr:nvSpPr>
            <xdr:cNvPr id="82" name="TextBox 81">
              <a:extLst>
                <a:ext uri="{FF2B5EF4-FFF2-40B4-BE49-F238E27FC236}">
                  <a16:creationId xmlns:a16="http://schemas.microsoft.com/office/drawing/2014/main" id="{22ACDB2D-CFF1-254F-9603-2E82B8823644}"/>
                </a:ext>
              </a:extLst>
            </xdr:cNvPr>
            <xdr:cNvSpPr txBox="1"/>
          </xdr:nvSpPr>
          <xdr:spPr>
            <a:xfrm>
              <a:off x="13518924794" y="90724612"/>
              <a:ext cx="302326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he-IL" sz="1100" b="0" i="1">
                            <a:latin typeface="Cambria Math" panose="02040503050406030204" pitchFamily="18" charset="0"/>
                          </a:rPr>
                        </m:ctrlPr>
                      </m:dPr>
                      <m:e>
                        <m:r>
                          <a:rPr lang="he-IL" sz="1100" b="0" i="1">
                            <a:latin typeface="Cambria Math" panose="02040503050406030204" pitchFamily="18" charset="0"/>
                          </a:rPr>
                          <m:t>2016</m:t>
                        </m:r>
                      </m:e>
                    </m:d>
                    <m:r>
                      <a:rPr lang="he-IL"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600</m:t>
                        </m:r>
                      </m:num>
                      <m:den>
                        <m:r>
                          <a:rPr lang="he-IL" sz="1100" b="0" i="1">
                            <a:latin typeface="Cambria Math" panose="02040503050406030204" pitchFamily="18" charset="0"/>
                          </a:rPr>
                          <m:t>12</m:t>
                        </m:r>
                      </m:den>
                    </m:f>
                    <m:r>
                      <a:rPr lang="he-IL" sz="1100" b="0" i="1">
                        <a:latin typeface="Cambria Math" panose="02040503050406030204" pitchFamily="18" charset="0"/>
                      </a:rPr>
                      <m:t>∗9=450</m:t>
                    </m:r>
                  </m:oMath>
                </m:oMathPara>
              </a14:m>
              <a:endParaRPr lang="en-US" sz="1100"/>
            </a:p>
          </xdr:txBody>
        </xdr:sp>
      </mc:Choice>
      <mc:Fallback xmlns="">
        <xdr:sp macro="" textlink="">
          <xdr:nvSpPr>
            <xdr:cNvPr id="82" name="TextBox 81">
              <a:extLst>
                <a:ext uri="{FF2B5EF4-FFF2-40B4-BE49-F238E27FC236}">
                  <a16:creationId xmlns:a16="http://schemas.microsoft.com/office/drawing/2014/main" id="{22ACDB2D-CFF1-254F-9603-2E82B8823644}"/>
                </a:ext>
              </a:extLst>
            </xdr:cNvPr>
            <xdr:cNvSpPr txBox="1"/>
          </xdr:nvSpPr>
          <xdr:spPr>
            <a:xfrm>
              <a:off x="13518924794" y="90724612"/>
              <a:ext cx="302326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a:t>
              </a:r>
              <a:r>
                <a:rPr lang="he-IL" sz="1100" b="0" i="0">
                  <a:latin typeface="Cambria Math" panose="02040503050406030204" pitchFamily="18" charset="0"/>
                </a:rPr>
                <a:t>(2016)=600/12∗9=450</a:t>
              </a:r>
              <a:endParaRPr lang="en-US" sz="1100"/>
            </a:p>
          </xdr:txBody>
        </xdr:sp>
      </mc:Fallback>
    </mc:AlternateContent>
    <xdr:clientData/>
  </xdr:oneCellAnchor>
  <xdr:twoCellAnchor>
    <xdr:from>
      <xdr:col>2</xdr:col>
      <xdr:colOff>552450</xdr:colOff>
      <xdr:row>301</xdr:row>
      <xdr:rowOff>50800</xdr:rowOff>
    </xdr:from>
    <xdr:to>
      <xdr:col>2</xdr:col>
      <xdr:colOff>787400</xdr:colOff>
      <xdr:row>304</xdr:row>
      <xdr:rowOff>184150</xdr:rowOff>
    </xdr:to>
    <xdr:sp macro="" textlink="">
      <xdr:nvSpPr>
        <xdr:cNvPr id="83" name="Left Brace 82">
          <a:extLst>
            <a:ext uri="{FF2B5EF4-FFF2-40B4-BE49-F238E27FC236}">
              <a16:creationId xmlns:a16="http://schemas.microsoft.com/office/drawing/2014/main" id="{D4D56958-4F57-9641-8350-CDCEF02BF5ED}"/>
            </a:ext>
          </a:extLst>
        </xdr:cNvPr>
        <xdr:cNvSpPr/>
      </xdr:nvSpPr>
      <xdr:spPr>
        <a:xfrm>
          <a:off x="13522553600" y="102806500"/>
          <a:ext cx="234950" cy="742950"/>
        </a:xfrm>
        <a:prstGeom prst="leftBrace">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r" rtl="1"/>
          <a:endParaRPr lang="en-US" sz="1100"/>
        </a:p>
      </xdr:txBody>
    </xdr:sp>
    <xdr:clientData/>
  </xdr:twoCellAnchor>
  <xdr:twoCellAnchor>
    <xdr:from>
      <xdr:col>5</xdr:col>
      <xdr:colOff>683846</xdr:colOff>
      <xdr:row>361</xdr:row>
      <xdr:rowOff>18317</xdr:rowOff>
    </xdr:from>
    <xdr:to>
      <xdr:col>6</xdr:col>
      <xdr:colOff>61057</xdr:colOff>
      <xdr:row>362</xdr:row>
      <xdr:rowOff>158750</xdr:rowOff>
    </xdr:to>
    <xdr:cxnSp macro="">
      <xdr:nvCxnSpPr>
        <xdr:cNvPr id="84" name="Straight Arrow Connector 83">
          <a:extLst>
            <a:ext uri="{FF2B5EF4-FFF2-40B4-BE49-F238E27FC236}">
              <a16:creationId xmlns:a16="http://schemas.microsoft.com/office/drawing/2014/main" id="{21D36275-AA68-0245-9CC4-419D65C9FF02}"/>
            </a:ext>
          </a:extLst>
        </xdr:cNvPr>
        <xdr:cNvCxnSpPr/>
      </xdr:nvCxnSpPr>
      <xdr:spPr>
        <a:xfrm flipH="1">
          <a:off x="13519977943" y="114966017"/>
          <a:ext cx="202711" cy="34363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164856</xdr:colOff>
      <xdr:row>361</xdr:row>
      <xdr:rowOff>6105</xdr:rowOff>
    </xdr:from>
    <xdr:to>
      <xdr:col>5</xdr:col>
      <xdr:colOff>354135</xdr:colOff>
      <xdr:row>362</xdr:row>
      <xdr:rowOff>195385</xdr:rowOff>
    </xdr:to>
    <xdr:cxnSp macro="">
      <xdr:nvCxnSpPr>
        <xdr:cNvPr id="85" name="Straight Arrow Connector 84">
          <a:extLst>
            <a:ext uri="{FF2B5EF4-FFF2-40B4-BE49-F238E27FC236}">
              <a16:creationId xmlns:a16="http://schemas.microsoft.com/office/drawing/2014/main" id="{007A1EB3-88C2-3B42-96B8-D67858C9C6F6}"/>
            </a:ext>
          </a:extLst>
        </xdr:cNvPr>
        <xdr:cNvCxnSpPr/>
      </xdr:nvCxnSpPr>
      <xdr:spPr>
        <a:xfrm>
          <a:off x="13520510365" y="114953805"/>
          <a:ext cx="189279" cy="3924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280865</xdr:colOff>
      <xdr:row>360</xdr:row>
      <xdr:rowOff>183173</xdr:rowOff>
    </xdr:from>
    <xdr:to>
      <xdr:col>5</xdr:col>
      <xdr:colOff>79375</xdr:colOff>
      <xdr:row>362</xdr:row>
      <xdr:rowOff>177068</xdr:rowOff>
    </xdr:to>
    <xdr:cxnSp macro="">
      <xdr:nvCxnSpPr>
        <xdr:cNvPr id="86" name="Straight Arrow Connector 85">
          <a:extLst>
            <a:ext uri="{FF2B5EF4-FFF2-40B4-BE49-F238E27FC236}">
              <a16:creationId xmlns:a16="http://schemas.microsoft.com/office/drawing/2014/main" id="{D5A43B34-730C-9642-B9B4-D1DECBDC2370}"/>
            </a:ext>
          </a:extLst>
        </xdr:cNvPr>
        <xdr:cNvCxnSpPr/>
      </xdr:nvCxnSpPr>
      <xdr:spPr>
        <a:xfrm>
          <a:off x="13520785125" y="114927673"/>
          <a:ext cx="624010" cy="40029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48820</xdr:colOff>
      <xdr:row>392</xdr:row>
      <xdr:rowOff>179478</xdr:rowOff>
    </xdr:from>
    <xdr:ext cx="4071246" cy="2698030"/>
    <xdr:pic>
      <xdr:nvPicPr>
        <xdr:cNvPr id="87" name="Picture 86">
          <a:extLst>
            <a:ext uri="{FF2B5EF4-FFF2-40B4-BE49-F238E27FC236}">
              <a16:creationId xmlns:a16="http://schemas.microsoft.com/office/drawing/2014/main" id="{36190D34-7D1C-CC45-A08B-0F7AFBEE46C2}"/>
            </a:ext>
          </a:extLst>
        </xdr:cNvPr>
        <xdr:cNvPicPr>
          <a:picLocks noChangeAspect="1"/>
        </xdr:cNvPicPr>
      </xdr:nvPicPr>
      <xdr:blipFill>
        <a:blip xmlns:r="http://schemas.openxmlformats.org/officeDocument/2006/relationships" r:embed="rId8"/>
        <a:stretch>
          <a:fillRect/>
        </a:stretch>
      </xdr:blipFill>
      <xdr:spPr>
        <a:xfrm>
          <a:off x="13492395051" y="80533525"/>
          <a:ext cx="4071246" cy="2698030"/>
        </a:xfrm>
        <a:prstGeom prst="rect">
          <a:avLst/>
        </a:prstGeom>
      </xdr:spPr>
    </xdr:pic>
    <xdr:clientData/>
  </xdr:oneCellAnchor>
  <xdr:oneCellAnchor>
    <xdr:from>
      <xdr:col>5</xdr:col>
      <xdr:colOff>368478</xdr:colOff>
      <xdr:row>407</xdr:row>
      <xdr:rowOff>171631</xdr:rowOff>
    </xdr:from>
    <xdr:ext cx="1560144" cy="1632244"/>
    <xdr:pic>
      <xdr:nvPicPr>
        <xdr:cNvPr id="88" name="Picture 87" descr="Cartoon Taxi Driver Funny Character with His Yellow Cab Stock Vector -  Illustration of clipart, humor: 35049167">
          <a:extLst>
            <a:ext uri="{FF2B5EF4-FFF2-40B4-BE49-F238E27FC236}">
              <a16:creationId xmlns:a16="http://schemas.microsoft.com/office/drawing/2014/main" id="{3F0CF649-0E62-2041-8A24-BF70200EC16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518935878" y="124466531"/>
          <a:ext cx="1560144" cy="163224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4</xdr:col>
      <xdr:colOff>35775</xdr:colOff>
      <xdr:row>414</xdr:row>
      <xdr:rowOff>114479</xdr:rowOff>
    </xdr:from>
    <xdr:to>
      <xdr:col>5</xdr:col>
      <xdr:colOff>175296</xdr:colOff>
      <xdr:row>414</xdr:row>
      <xdr:rowOff>114479</xdr:rowOff>
    </xdr:to>
    <xdr:cxnSp macro="">
      <xdr:nvCxnSpPr>
        <xdr:cNvPr id="89" name="Straight Arrow Connector 88">
          <a:extLst>
            <a:ext uri="{FF2B5EF4-FFF2-40B4-BE49-F238E27FC236}">
              <a16:creationId xmlns:a16="http://schemas.microsoft.com/office/drawing/2014/main" id="{59B757DB-42A5-0F48-991B-92F0FA5A6C81}"/>
            </a:ext>
          </a:extLst>
        </xdr:cNvPr>
        <xdr:cNvCxnSpPr/>
      </xdr:nvCxnSpPr>
      <xdr:spPr>
        <a:xfrm flipH="1">
          <a:off x="13520689204" y="125831779"/>
          <a:ext cx="965021"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531024</xdr:colOff>
      <xdr:row>427</xdr:row>
      <xdr:rowOff>112815</xdr:rowOff>
    </xdr:from>
    <xdr:ext cx="3028177" cy="327397"/>
    <mc:AlternateContent xmlns:mc="http://schemas.openxmlformats.org/markup-compatibility/2006" xmlns:a14="http://schemas.microsoft.com/office/drawing/2010/main">
      <mc:Choice Requires="a14">
        <xdr:sp macro="" textlink="">
          <xdr:nvSpPr>
            <xdr:cNvPr id="90" name="TextBox 89">
              <a:extLst>
                <a:ext uri="{FF2B5EF4-FFF2-40B4-BE49-F238E27FC236}">
                  <a16:creationId xmlns:a16="http://schemas.microsoft.com/office/drawing/2014/main" id="{B7FD6DF9-8807-6645-9562-1629929E1122}"/>
                </a:ext>
              </a:extLst>
            </xdr:cNvPr>
            <xdr:cNvSpPr txBox="1"/>
          </xdr:nvSpPr>
          <xdr:spPr>
            <a:xfrm>
              <a:off x="13519781799" y="128471715"/>
              <a:ext cx="3028177" cy="3273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𝑆𝐷</m:t>
                    </m:r>
                    <m:r>
                      <a:rPr lang="en-US" sz="1100" b="0" i="1">
                        <a:latin typeface="Cambria Math" panose="02040503050406030204" pitchFamily="18" charset="0"/>
                      </a:rPr>
                      <m:t>=</m:t>
                    </m:r>
                    <m:f>
                      <m:fPr>
                        <m:ctrlPr>
                          <a:rPr lang="en-US" sz="1100" b="0" i="1">
                            <a:solidFill>
                              <a:sysClr val="windowText" lastClr="000000"/>
                            </a:solidFill>
                            <a:latin typeface="Cambria Math" panose="02040503050406030204" pitchFamily="18" charset="0"/>
                          </a:rPr>
                        </m:ctrlPr>
                      </m:fPr>
                      <m:num>
                        <m:r>
                          <a:rPr lang="en-US" sz="1100" b="0" i="1">
                            <a:solidFill>
                              <a:sysClr val="windowText" lastClr="000000"/>
                            </a:solidFill>
                            <a:latin typeface="Cambria Math" panose="02040503050406030204" pitchFamily="18" charset="0"/>
                          </a:rPr>
                          <m:t>𝑛</m:t>
                        </m:r>
                        <m:r>
                          <a:rPr lang="en-US" sz="1100" b="0" i="1">
                            <a:solidFill>
                              <a:sysClr val="windowText" lastClr="000000"/>
                            </a:solidFill>
                            <a:latin typeface="Cambria Math" panose="02040503050406030204" pitchFamily="18" charset="0"/>
                          </a:rPr>
                          <m:t>∗</m:t>
                        </m:r>
                        <m:d>
                          <m:dPr>
                            <m:ctrlPr>
                              <a:rPr lang="en-US" sz="1100" b="0" i="1">
                                <a:solidFill>
                                  <a:sysClr val="windowText" lastClr="000000"/>
                                </a:solidFill>
                                <a:latin typeface="Cambria Math" panose="02040503050406030204" pitchFamily="18" charset="0"/>
                              </a:rPr>
                            </m:ctrlPr>
                          </m:dPr>
                          <m:e>
                            <m:r>
                              <a:rPr lang="en-US" sz="1100" b="0" i="1">
                                <a:solidFill>
                                  <a:sysClr val="windowText" lastClr="000000"/>
                                </a:solidFill>
                                <a:latin typeface="Cambria Math" panose="02040503050406030204" pitchFamily="18" charset="0"/>
                              </a:rPr>
                              <m:t>𝑛</m:t>
                            </m:r>
                            <m:r>
                              <a:rPr lang="en-US" sz="1100" b="0" i="1">
                                <a:solidFill>
                                  <a:sysClr val="windowText" lastClr="000000"/>
                                </a:solidFill>
                                <a:latin typeface="Cambria Math" panose="02040503050406030204" pitchFamily="18" charset="0"/>
                              </a:rPr>
                              <m:t>+1</m:t>
                            </m:r>
                          </m:e>
                        </m:d>
                      </m:num>
                      <m:den>
                        <m:r>
                          <a:rPr lang="en-US" sz="1100" b="0" i="1">
                            <a:solidFill>
                              <a:sysClr val="windowText" lastClr="000000"/>
                            </a:solidFill>
                            <a:latin typeface="Cambria Math" panose="02040503050406030204" pitchFamily="18" charset="0"/>
                          </a:rPr>
                          <m:t>2</m:t>
                        </m:r>
                      </m:den>
                    </m:f>
                    <m:r>
                      <a:rPr lang="he-IL" sz="1100" b="0" i="1">
                        <a:solidFill>
                          <a:sysClr val="windowText" lastClr="000000"/>
                        </a:solidFill>
                        <a:latin typeface="Cambria Math" panose="02040503050406030204" pitchFamily="18" charset="0"/>
                      </a:rPr>
                      <m:t>=</m:t>
                    </m:r>
                    <m:f>
                      <m:fPr>
                        <m:ctrlPr>
                          <a:rPr lang="he-IL" sz="1100" b="0" i="1">
                            <a:solidFill>
                              <a:sysClr val="windowText" lastClr="000000"/>
                            </a:solidFill>
                            <a:latin typeface="Cambria Math" panose="02040503050406030204" pitchFamily="18" charset="0"/>
                          </a:rPr>
                        </m:ctrlPr>
                      </m:fPr>
                      <m:num>
                        <m:r>
                          <a:rPr lang="he-IL" sz="1100" b="0" i="1">
                            <a:solidFill>
                              <a:sysClr val="windowText" lastClr="000000"/>
                            </a:solidFill>
                            <a:latin typeface="Cambria Math" panose="02040503050406030204" pitchFamily="18" charset="0"/>
                          </a:rPr>
                          <m:t>6∗(6+1)</m:t>
                        </m:r>
                      </m:num>
                      <m:den>
                        <m:r>
                          <a:rPr lang="he-IL" sz="1100" b="0" i="1">
                            <a:solidFill>
                              <a:sysClr val="windowText" lastClr="000000"/>
                            </a:solidFill>
                            <a:latin typeface="Cambria Math" panose="02040503050406030204" pitchFamily="18" charset="0"/>
                          </a:rPr>
                          <m:t>2</m:t>
                        </m:r>
                      </m:den>
                    </m:f>
                    <m:r>
                      <a:rPr lang="he-IL" sz="1100" b="0" i="1">
                        <a:solidFill>
                          <a:sysClr val="windowText" lastClr="000000"/>
                        </a:solidFill>
                        <a:latin typeface="Cambria Math" panose="02040503050406030204" pitchFamily="18" charset="0"/>
                      </a:rPr>
                      <m:t>=21</m:t>
                    </m:r>
                  </m:oMath>
                </m:oMathPara>
              </a14:m>
              <a:endParaRPr lang="en-US" sz="1100"/>
            </a:p>
          </xdr:txBody>
        </xdr:sp>
      </mc:Choice>
      <mc:Fallback xmlns="">
        <xdr:sp macro="" textlink="">
          <xdr:nvSpPr>
            <xdr:cNvPr id="90" name="TextBox 89">
              <a:extLst>
                <a:ext uri="{FF2B5EF4-FFF2-40B4-BE49-F238E27FC236}">
                  <a16:creationId xmlns:a16="http://schemas.microsoft.com/office/drawing/2014/main" id="{B7FD6DF9-8807-6645-9562-1629929E1122}"/>
                </a:ext>
              </a:extLst>
            </xdr:cNvPr>
            <xdr:cNvSpPr txBox="1"/>
          </xdr:nvSpPr>
          <xdr:spPr>
            <a:xfrm>
              <a:off x="13519781799" y="128471715"/>
              <a:ext cx="3028177" cy="3273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𝑆𝐷=</a:t>
              </a:r>
              <a:r>
                <a:rPr lang="en-US" sz="1100" b="0" i="0">
                  <a:solidFill>
                    <a:sysClr val="windowText" lastClr="000000"/>
                  </a:solidFill>
                  <a:latin typeface="Cambria Math" panose="02040503050406030204" pitchFamily="18" charset="0"/>
                </a:rPr>
                <a:t>(𝑛∗(𝑛+1))/2</a:t>
              </a:r>
              <a:r>
                <a:rPr lang="he-IL" sz="1100" b="0" i="0">
                  <a:solidFill>
                    <a:sysClr val="windowText" lastClr="000000"/>
                  </a:solidFill>
                  <a:latin typeface="Cambria Math" panose="02040503050406030204" pitchFamily="18" charset="0"/>
                </a:rPr>
                <a:t>=(6∗(6+1))/2=21</a:t>
              </a:r>
              <a:endParaRPr lang="en-US" sz="1100"/>
            </a:p>
          </xdr:txBody>
        </xdr:sp>
      </mc:Fallback>
    </mc:AlternateContent>
    <xdr:clientData/>
  </xdr:oneCellAnchor>
  <xdr:twoCellAnchor>
    <xdr:from>
      <xdr:col>0</xdr:col>
      <xdr:colOff>772398</xdr:colOff>
      <xdr:row>441</xdr:row>
      <xdr:rowOff>107690</xdr:rowOff>
    </xdr:from>
    <xdr:to>
      <xdr:col>6</xdr:col>
      <xdr:colOff>115117</xdr:colOff>
      <xdr:row>441</xdr:row>
      <xdr:rowOff>107690</xdr:rowOff>
    </xdr:to>
    <xdr:cxnSp macro="">
      <xdr:nvCxnSpPr>
        <xdr:cNvPr id="91" name="Straight Arrow Connector 90">
          <a:extLst>
            <a:ext uri="{FF2B5EF4-FFF2-40B4-BE49-F238E27FC236}">
              <a16:creationId xmlns:a16="http://schemas.microsoft.com/office/drawing/2014/main" id="{F875212E-D76C-E746-AFB8-789D3483B1FD}"/>
            </a:ext>
          </a:extLst>
        </xdr:cNvPr>
        <xdr:cNvCxnSpPr/>
      </xdr:nvCxnSpPr>
      <xdr:spPr>
        <a:xfrm>
          <a:off x="13519923883" y="131311390"/>
          <a:ext cx="4295719" cy="0"/>
        </a:xfrm>
        <a:prstGeom prst="straightConnector1">
          <a:avLst/>
        </a:prstGeom>
        <a:ln w="19050" cap="flat" cmpd="sng" algn="ctr">
          <a:solidFill>
            <a:schemeClr val="dk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xdr:col>
      <xdr:colOff>352778</xdr:colOff>
      <xdr:row>439</xdr:row>
      <xdr:rowOff>111238</xdr:rowOff>
    </xdr:from>
    <xdr:to>
      <xdr:col>5</xdr:col>
      <xdr:colOff>404766</xdr:colOff>
      <xdr:row>440</xdr:row>
      <xdr:rowOff>3714</xdr:rowOff>
    </xdr:to>
    <xdr:sp macro="" textlink="">
      <xdr:nvSpPr>
        <xdr:cNvPr id="92" name="Freeform 91">
          <a:extLst>
            <a:ext uri="{FF2B5EF4-FFF2-40B4-BE49-F238E27FC236}">
              <a16:creationId xmlns:a16="http://schemas.microsoft.com/office/drawing/2014/main" id="{96A4C680-2BE4-C54E-A82B-23AEBFAB14D4}"/>
            </a:ext>
          </a:extLst>
        </xdr:cNvPr>
        <xdr:cNvSpPr/>
      </xdr:nvSpPr>
      <xdr:spPr>
        <a:xfrm>
          <a:off x="13520459734" y="130908538"/>
          <a:ext cx="877488" cy="95676"/>
        </a:xfrm>
        <a:custGeom>
          <a:avLst/>
          <a:gdLst>
            <a:gd name="connsiteX0" fmla="*/ 0 w 876374"/>
            <a:gd name="connsiteY0" fmla="*/ 78148 h 96716"/>
            <a:gd name="connsiteX1" fmla="*/ 386199 w 876374"/>
            <a:gd name="connsiteY1" fmla="*/ 166 h 96716"/>
            <a:gd name="connsiteX2" fmla="*/ 876374 w 876374"/>
            <a:gd name="connsiteY2" fmla="*/ 96716 h 96716"/>
          </a:gdLst>
          <a:ahLst/>
          <a:cxnLst>
            <a:cxn ang="0">
              <a:pos x="connsiteX0" y="connsiteY0"/>
            </a:cxn>
            <a:cxn ang="0">
              <a:pos x="connsiteX1" y="connsiteY1"/>
            </a:cxn>
            <a:cxn ang="0">
              <a:pos x="connsiteX2" y="connsiteY2"/>
            </a:cxn>
          </a:cxnLst>
          <a:rect l="l" t="t" r="r" b="b"/>
          <a:pathLst>
            <a:path w="876374" h="96716">
              <a:moveTo>
                <a:pt x="0" y="78148"/>
              </a:moveTo>
              <a:cubicBezTo>
                <a:pt x="120068" y="37609"/>
                <a:pt x="240137" y="-2929"/>
                <a:pt x="386199" y="166"/>
              </a:cubicBezTo>
              <a:cubicBezTo>
                <a:pt x="532261" y="3261"/>
                <a:pt x="704317" y="49988"/>
                <a:pt x="876374" y="96716"/>
              </a:cubicBezTo>
            </a:path>
          </a:pathLst>
        </a:cu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3</xdr:col>
      <xdr:colOff>263655</xdr:colOff>
      <xdr:row>439</xdr:row>
      <xdr:rowOff>126092</xdr:rowOff>
    </xdr:from>
    <xdr:to>
      <xdr:col>4</xdr:col>
      <xdr:colOff>315643</xdr:colOff>
      <xdr:row>440</xdr:row>
      <xdr:rowOff>18568</xdr:rowOff>
    </xdr:to>
    <xdr:sp macro="" textlink="">
      <xdr:nvSpPr>
        <xdr:cNvPr id="93" name="Freeform 92">
          <a:extLst>
            <a:ext uri="{FF2B5EF4-FFF2-40B4-BE49-F238E27FC236}">
              <a16:creationId xmlns:a16="http://schemas.microsoft.com/office/drawing/2014/main" id="{C2287248-395E-EE43-ABE6-3EF6A8843175}"/>
            </a:ext>
          </a:extLst>
        </xdr:cNvPr>
        <xdr:cNvSpPr/>
      </xdr:nvSpPr>
      <xdr:spPr>
        <a:xfrm>
          <a:off x="13521374357" y="130923392"/>
          <a:ext cx="877488" cy="95676"/>
        </a:xfrm>
        <a:custGeom>
          <a:avLst/>
          <a:gdLst>
            <a:gd name="connsiteX0" fmla="*/ 0 w 876374"/>
            <a:gd name="connsiteY0" fmla="*/ 78148 h 96716"/>
            <a:gd name="connsiteX1" fmla="*/ 386199 w 876374"/>
            <a:gd name="connsiteY1" fmla="*/ 166 h 96716"/>
            <a:gd name="connsiteX2" fmla="*/ 876374 w 876374"/>
            <a:gd name="connsiteY2" fmla="*/ 96716 h 96716"/>
          </a:gdLst>
          <a:ahLst/>
          <a:cxnLst>
            <a:cxn ang="0">
              <a:pos x="connsiteX0" y="connsiteY0"/>
            </a:cxn>
            <a:cxn ang="0">
              <a:pos x="connsiteX1" y="connsiteY1"/>
            </a:cxn>
            <a:cxn ang="0">
              <a:pos x="connsiteX2" y="connsiteY2"/>
            </a:cxn>
          </a:cxnLst>
          <a:rect l="l" t="t" r="r" b="b"/>
          <a:pathLst>
            <a:path w="876374" h="96716">
              <a:moveTo>
                <a:pt x="0" y="78148"/>
              </a:moveTo>
              <a:cubicBezTo>
                <a:pt x="120068" y="37609"/>
                <a:pt x="240137" y="-2929"/>
                <a:pt x="386199" y="166"/>
              </a:cubicBezTo>
              <a:cubicBezTo>
                <a:pt x="532261" y="3261"/>
                <a:pt x="704317" y="49988"/>
                <a:pt x="876374" y="96716"/>
              </a:cubicBezTo>
            </a:path>
          </a:pathLst>
        </a:cu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2</xdr:col>
      <xdr:colOff>185672</xdr:colOff>
      <xdr:row>439</xdr:row>
      <xdr:rowOff>133519</xdr:rowOff>
    </xdr:from>
    <xdr:to>
      <xdr:col>3</xdr:col>
      <xdr:colOff>237660</xdr:colOff>
      <xdr:row>440</xdr:row>
      <xdr:rowOff>25995</xdr:rowOff>
    </xdr:to>
    <xdr:sp macro="" textlink="">
      <xdr:nvSpPr>
        <xdr:cNvPr id="94" name="Freeform 93">
          <a:extLst>
            <a:ext uri="{FF2B5EF4-FFF2-40B4-BE49-F238E27FC236}">
              <a16:creationId xmlns:a16="http://schemas.microsoft.com/office/drawing/2014/main" id="{7206A0A4-BD01-3D45-9AFE-A8B70CBE49E6}"/>
            </a:ext>
          </a:extLst>
        </xdr:cNvPr>
        <xdr:cNvSpPr/>
      </xdr:nvSpPr>
      <xdr:spPr>
        <a:xfrm>
          <a:off x="13522277840" y="130930819"/>
          <a:ext cx="877488" cy="95676"/>
        </a:xfrm>
        <a:custGeom>
          <a:avLst/>
          <a:gdLst>
            <a:gd name="connsiteX0" fmla="*/ 0 w 876374"/>
            <a:gd name="connsiteY0" fmla="*/ 78148 h 96716"/>
            <a:gd name="connsiteX1" fmla="*/ 386199 w 876374"/>
            <a:gd name="connsiteY1" fmla="*/ 166 h 96716"/>
            <a:gd name="connsiteX2" fmla="*/ 876374 w 876374"/>
            <a:gd name="connsiteY2" fmla="*/ 96716 h 96716"/>
          </a:gdLst>
          <a:ahLst/>
          <a:cxnLst>
            <a:cxn ang="0">
              <a:pos x="connsiteX0" y="connsiteY0"/>
            </a:cxn>
            <a:cxn ang="0">
              <a:pos x="connsiteX1" y="connsiteY1"/>
            </a:cxn>
            <a:cxn ang="0">
              <a:pos x="connsiteX2" y="connsiteY2"/>
            </a:cxn>
          </a:cxnLst>
          <a:rect l="l" t="t" r="r" b="b"/>
          <a:pathLst>
            <a:path w="876374" h="96716">
              <a:moveTo>
                <a:pt x="0" y="78148"/>
              </a:moveTo>
              <a:cubicBezTo>
                <a:pt x="120068" y="37609"/>
                <a:pt x="240137" y="-2929"/>
                <a:pt x="386199" y="166"/>
              </a:cubicBezTo>
              <a:cubicBezTo>
                <a:pt x="532261" y="3261"/>
                <a:pt x="704317" y="49988"/>
                <a:pt x="876374" y="96716"/>
              </a:cubicBezTo>
            </a:path>
          </a:pathLst>
        </a:cu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107690</xdr:colOff>
      <xdr:row>439</xdr:row>
      <xdr:rowOff>140946</xdr:rowOff>
    </xdr:from>
    <xdr:to>
      <xdr:col>2</xdr:col>
      <xdr:colOff>159678</xdr:colOff>
      <xdr:row>440</xdr:row>
      <xdr:rowOff>33422</xdr:rowOff>
    </xdr:to>
    <xdr:sp macro="" textlink="">
      <xdr:nvSpPr>
        <xdr:cNvPr id="95" name="Freeform 94">
          <a:extLst>
            <a:ext uri="{FF2B5EF4-FFF2-40B4-BE49-F238E27FC236}">
              <a16:creationId xmlns:a16="http://schemas.microsoft.com/office/drawing/2014/main" id="{6DB210ED-3905-EF49-ACDE-877DDCC04B5D}"/>
            </a:ext>
          </a:extLst>
        </xdr:cNvPr>
        <xdr:cNvSpPr/>
      </xdr:nvSpPr>
      <xdr:spPr>
        <a:xfrm>
          <a:off x="13523181322" y="130938246"/>
          <a:ext cx="877488" cy="95676"/>
        </a:xfrm>
        <a:custGeom>
          <a:avLst/>
          <a:gdLst>
            <a:gd name="connsiteX0" fmla="*/ 0 w 876374"/>
            <a:gd name="connsiteY0" fmla="*/ 78148 h 96716"/>
            <a:gd name="connsiteX1" fmla="*/ 386199 w 876374"/>
            <a:gd name="connsiteY1" fmla="*/ 166 h 96716"/>
            <a:gd name="connsiteX2" fmla="*/ 876374 w 876374"/>
            <a:gd name="connsiteY2" fmla="*/ 96716 h 96716"/>
          </a:gdLst>
          <a:ahLst/>
          <a:cxnLst>
            <a:cxn ang="0">
              <a:pos x="connsiteX0" y="connsiteY0"/>
            </a:cxn>
            <a:cxn ang="0">
              <a:pos x="connsiteX1" y="connsiteY1"/>
            </a:cxn>
            <a:cxn ang="0">
              <a:pos x="connsiteX2" y="connsiteY2"/>
            </a:cxn>
          </a:cxnLst>
          <a:rect l="l" t="t" r="r" b="b"/>
          <a:pathLst>
            <a:path w="876374" h="96716">
              <a:moveTo>
                <a:pt x="0" y="78148"/>
              </a:moveTo>
              <a:cubicBezTo>
                <a:pt x="120068" y="37609"/>
                <a:pt x="240137" y="-2929"/>
                <a:pt x="386199" y="166"/>
              </a:cubicBezTo>
              <a:cubicBezTo>
                <a:pt x="532261" y="3261"/>
                <a:pt x="704317" y="49988"/>
                <a:pt x="876374" y="96716"/>
              </a:cubicBezTo>
            </a:path>
          </a:pathLst>
        </a:cu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oneCellAnchor>
    <xdr:from>
      <xdr:col>2</xdr:col>
      <xdr:colOff>33421</xdr:colOff>
      <xdr:row>445</xdr:row>
      <xdr:rowOff>161090</xdr:rowOff>
    </xdr:from>
    <xdr:ext cx="2690254" cy="489108"/>
    <mc:AlternateContent xmlns:mc="http://schemas.openxmlformats.org/markup-compatibility/2006" xmlns:a14="http://schemas.microsoft.com/office/drawing/2010/main">
      <mc:Choice Requires="a14">
        <xdr:sp macro="" textlink="">
          <xdr:nvSpPr>
            <xdr:cNvPr id="96" name="TextBox 95">
              <a:extLst>
                <a:ext uri="{FF2B5EF4-FFF2-40B4-BE49-F238E27FC236}">
                  <a16:creationId xmlns:a16="http://schemas.microsoft.com/office/drawing/2014/main" id="{D340A4A5-1ED2-574F-A2F2-9FC504E16EA0}"/>
                </a:ext>
              </a:extLst>
            </xdr:cNvPr>
            <xdr:cNvSpPr txBox="1"/>
          </xdr:nvSpPr>
          <xdr:spPr>
            <a:xfrm>
              <a:off x="13520617325" y="132177590"/>
              <a:ext cx="2690254" cy="4891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sSub>
                      <m:sSubPr>
                        <m:ctrlPr>
                          <a:rPr lang="en-US" sz="1100" b="0" i="1">
                            <a:latin typeface="Cambria Math" panose="02040503050406030204" pitchFamily="18" charset="0"/>
                          </a:rPr>
                        </m:ctrlPr>
                      </m:sSubPr>
                      <m:e>
                        <m:r>
                          <a:rPr lang="en-US" sz="1100" b="0" i="1">
                            <a:latin typeface="Cambria Math" panose="02040503050406030204" pitchFamily="18" charset="0"/>
                          </a:rPr>
                          <m:t>𝐷</m:t>
                        </m:r>
                      </m:e>
                      <m:sub>
                        <m:r>
                          <a:rPr lang="en-US" sz="1100" b="0" i="1">
                            <a:latin typeface="Cambria Math" panose="02040503050406030204" pitchFamily="18" charset="0"/>
                          </a:rPr>
                          <m:t>2020</m:t>
                        </m:r>
                      </m:sub>
                    </m:sSub>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1,890−690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6</m:t>
                        </m:r>
                      </m:num>
                      <m:den>
                        <m:r>
                          <a:rPr lang="en-US" sz="1100" b="0" i="1">
                            <a:solidFill>
                              <a:srgbClr val="FF0000"/>
                            </a:solidFill>
                            <a:latin typeface="Cambria Math" panose="02040503050406030204" pitchFamily="18" charset="0"/>
                          </a:rPr>
                          <m:t>21</m:t>
                        </m:r>
                      </m:den>
                    </m:f>
                    <m:r>
                      <a:rPr lang="en-US" sz="1100" b="0" i="1">
                        <a:latin typeface="Cambria Math" panose="02040503050406030204" pitchFamily="18" charset="0"/>
                      </a:rPr>
                      <m:t>=</m:t>
                    </m:r>
                  </m:oMath>
                </m:oMathPara>
              </a14:m>
              <a:endParaRPr lang="en-US" sz="1100"/>
            </a:p>
            <a:p>
              <a:pPr algn="r" rtl="1"/>
              <a:endParaRPr lang="en-US" sz="1100"/>
            </a:p>
          </xdr:txBody>
        </xdr:sp>
      </mc:Choice>
      <mc:Fallback xmlns="">
        <xdr:sp macro="" textlink="">
          <xdr:nvSpPr>
            <xdr:cNvPr id="96" name="TextBox 95">
              <a:extLst>
                <a:ext uri="{FF2B5EF4-FFF2-40B4-BE49-F238E27FC236}">
                  <a16:creationId xmlns:a16="http://schemas.microsoft.com/office/drawing/2014/main" id="{D340A4A5-1ED2-574F-A2F2-9FC504E16EA0}"/>
                </a:ext>
              </a:extLst>
            </xdr:cNvPr>
            <xdr:cNvSpPr txBox="1"/>
          </xdr:nvSpPr>
          <xdr:spPr>
            <a:xfrm>
              <a:off x="13520617325" y="132177590"/>
              <a:ext cx="2690254" cy="4891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𝐷_2020=(1,890−690)∗6/</a:t>
              </a:r>
              <a:r>
                <a:rPr lang="en-US" sz="1100" b="0" i="0">
                  <a:solidFill>
                    <a:srgbClr val="FF0000"/>
                  </a:solidFill>
                  <a:latin typeface="Cambria Math" panose="02040503050406030204" pitchFamily="18" charset="0"/>
                </a:rPr>
                <a:t>21</a:t>
              </a:r>
              <a:r>
                <a:rPr lang="en-US" sz="1100" b="0" i="0">
                  <a:latin typeface="Cambria Math" panose="02040503050406030204" pitchFamily="18" charset="0"/>
                </a:rPr>
                <a:t>=</a:t>
              </a:r>
              <a:endParaRPr lang="en-US" sz="1100"/>
            </a:p>
            <a:p>
              <a:pPr algn="r" rtl="1"/>
              <a:endParaRPr lang="en-US" sz="1100"/>
            </a:p>
          </xdr:txBody>
        </xdr:sp>
      </mc:Fallback>
    </mc:AlternateContent>
    <xdr:clientData/>
  </xdr:oneCellAnchor>
  <xdr:oneCellAnchor>
    <xdr:from>
      <xdr:col>2</xdr:col>
      <xdr:colOff>51988</xdr:colOff>
      <xdr:row>447</xdr:row>
      <xdr:rowOff>131381</xdr:rowOff>
    </xdr:from>
    <xdr:ext cx="2690254" cy="320344"/>
    <mc:AlternateContent xmlns:mc="http://schemas.openxmlformats.org/markup-compatibility/2006" xmlns:a14="http://schemas.microsoft.com/office/drawing/2010/main">
      <mc:Choice Requires="a14">
        <xdr:sp macro="" textlink="">
          <xdr:nvSpPr>
            <xdr:cNvPr id="97" name="TextBox 96">
              <a:extLst>
                <a:ext uri="{FF2B5EF4-FFF2-40B4-BE49-F238E27FC236}">
                  <a16:creationId xmlns:a16="http://schemas.microsoft.com/office/drawing/2014/main" id="{B36E33E9-B0DA-E145-864F-F73A6C4E3A79}"/>
                </a:ext>
              </a:extLst>
            </xdr:cNvPr>
            <xdr:cNvSpPr txBox="1"/>
          </xdr:nvSpPr>
          <xdr:spPr>
            <a:xfrm>
              <a:off x="13520598758" y="132554281"/>
              <a:ext cx="2690254" cy="320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sSub>
                      <m:sSubPr>
                        <m:ctrlPr>
                          <a:rPr lang="en-US" sz="1100" b="0" i="1">
                            <a:latin typeface="Cambria Math" panose="02040503050406030204" pitchFamily="18" charset="0"/>
                          </a:rPr>
                        </m:ctrlPr>
                      </m:sSubPr>
                      <m:e>
                        <m:r>
                          <a:rPr lang="en-US" sz="1100" b="0" i="1">
                            <a:latin typeface="Cambria Math" panose="02040503050406030204" pitchFamily="18" charset="0"/>
                          </a:rPr>
                          <m:t>𝐷</m:t>
                        </m:r>
                      </m:e>
                      <m:sub>
                        <m:r>
                          <a:rPr lang="en-US" sz="1100" b="0" i="1">
                            <a:latin typeface="Cambria Math" panose="02040503050406030204" pitchFamily="18" charset="0"/>
                          </a:rPr>
                          <m:t>2021</m:t>
                        </m:r>
                      </m:sub>
                    </m:sSub>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1,890−690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5</m:t>
                        </m:r>
                      </m:num>
                      <m:den>
                        <m:r>
                          <a:rPr lang="en-US" sz="1100" b="0" i="1">
                            <a:solidFill>
                              <a:srgbClr val="FF0000"/>
                            </a:solidFill>
                            <a:latin typeface="Cambria Math" panose="02040503050406030204" pitchFamily="18" charset="0"/>
                          </a:rPr>
                          <m:t>21</m:t>
                        </m:r>
                      </m:den>
                    </m:f>
                    <m:r>
                      <a:rPr lang="en-US" sz="1100" b="0" i="1">
                        <a:latin typeface="Cambria Math" panose="02040503050406030204" pitchFamily="18" charset="0"/>
                      </a:rPr>
                      <m:t>=</m:t>
                    </m:r>
                  </m:oMath>
                </m:oMathPara>
              </a14:m>
              <a:endParaRPr lang="en-US" sz="1100"/>
            </a:p>
          </xdr:txBody>
        </xdr:sp>
      </mc:Choice>
      <mc:Fallback xmlns="">
        <xdr:sp macro="" textlink="">
          <xdr:nvSpPr>
            <xdr:cNvPr id="97" name="TextBox 96">
              <a:extLst>
                <a:ext uri="{FF2B5EF4-FFF2-40B4-BE49-F238E27FC236}">
                  <a16:creationId xmlns:a16="http://schemas.microsoft.com/office/drawing/2014/main" id="{B36E33E9-B0DA-E145-864F-F73A6C4E3A79}"/>
                </a:ext>
              </a:extLst>
            </xdr:cNvPr>
            <xdr:cNvSpPr txBox="1"/>
          </xdr:nvSpPr>
          <xdr:spPr>
            <a:xfrm>
              <a:off x="13520598758" y="132554281"/>
              <a:ext cx="2690254" cy="320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𝐷_2021=(1,890−690)∗5/</a:t>
              </a:r>
              <a:r>
                <a:rPr lang="en-US" sz="1100" b="0" i="0">
                  <a:solidFill>
                    <a:srgbClr val="FF0000"/>
                  </a:solidFill>
                  <a:latin typeface="Cambria Math" panose="02040503050406030204" pitchFamily="18" charset="0"/>
                </a:rPr>
                <a:t>21</a:t>
              </a:r>
              <a:r>
                <a:rPr lang="en-US" sz="1100" b="0" i="0">
                  <a:latin typeface="Cambria Math" panose="02040503050406030204" pitchFamily="18" charset="0"/>
                </a:rPr>
                <a:t>=</a:t>
              </a:r>
              <a:endParaRPr lang="en-US" sz="1100"/>
            </a:p>
          </xdr:txBody>
        </xdr:sp>
      </mc:Fallback>
    </mc:AlternateContent>
    <xdr:clientData/>
  </xdr:oneCellAnchor>
  <xdr:oneCellAnchor>
    <xdr:from>
      <xdr:col>2</xdr:col>
      <xdr:colOff>51988</xdr:colOff>
      <xdr:row>449</xdr:row>
      <xdr:rowOff>123955</xdr:rowOff>
    </xdr:from>
    <xdr:ext cx="2690254" cy="320344"/>
    <mc:AlternateContent xmlns:mc="http://schemas.openxmlformats.org/markup-compatibility/2006" xmlns:a14="http://schemas.microsoft.com/office/drawing/2010/main">
      <mc:Choice Requires="a14">
        <xdr:sp macro="" textlink="">
          <xdr:nvSpPr>
            <xdr:cNvPr id="98" name="TextBox 97">
              <a:extLst>
                <a:ext uri="{FF2B5EF4-FFF2-40B4-BE49-F238E27FC236}">
                  <a16:creationId xmlns:a16="http://schemas.microsoft.com/office/drawing/2014/main" id="{97201509-3F7A-DB44-90C3-B0172BA63F7B}"/>
                </a:ext>
              </a:extLst>
            </xdr:cNvPr>
            <xdr:cNvSpPr txBox="1"/>
          </xdr:nvSpPr>
          <xdr:spPr>
            <a:xfrm>
              <a:off x="13520598758" y="132953255"/>
              <a:ext cx="2690254" cy="320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sSub>
                      <m:sSubPr>
                        <m:ctrlPr>
                          <a:rPr lang="en-US" sz="1100" b="0" i="1">
                            <a:latin typeface="Cambria Math" panose="02040503050406030204" pitchFamily="18" charset="0"/>
                          </a:rPr>
                        </m:ctrlPr>
                      </m:sSubPr>
                      <m:e>
                        <m:r>
                          <a:rPr lang="en-US" sz="1100" b="0" i="1">
                            <a:latin typeface="Cambria Math" panose="02040503050406030204" pitchFamily="18" charset="0"/>
                          </a:rPr>
                          <m:t>𝐷</m:t>
                        </m:r>
                      </m:e>
                      <m:sub>
                        <m:r>
                          <a:rPr lang="en-US" sz="1100" b="0" i="1">
                            <a:latin typeface="Cambria Math" panose="02040503050406030204" pitchFamily="18" charset="0"/>
                          </a:rPr>
                          <m:t>2022</m:t>
                        </m:r>
                      </m:sub>
                    </m:sSub>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1,890−690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4</m:t>
                        </m:r>
                      </m:num>
                      <m:den>
                        <m:r>
                          <a:rPr lang="en-US" sz="1100" b="0" i="1">
                            <a:solidFill>
                              <a:srgbClr val="FF0000"/>
                            </a:solidFill>
                            <a:latin typeface="Cambria Math" panose="02040503050406030204" pitchFamily="18" charset="0"/>
                          </a:rPr>
                          <m:t>21</m:t>
                        </m:r>
                      </m:den>
                    </m:f>
                    <m:r>
                      <a:rPr lang="en-US" sz="1100" b="0" i="1">
                        <a:latin typeface="Cambria Math" panose="02040503050406030204" pitchFamily="18" charset="0"/>
                      </a:rPr>
                      <m:t>=</m:t>
                    </m:r>
                  </m:oMath>
                </m:oMathPara>
              </a14:m>
              <a:endParaRPr lang="en-US" sz="1100"/>
            </a:p>
          </xdr:txBody>
        </xdr:sp>
      </mc:Choice>
      <mc:Fallback xmlns="">
        <xdr:sp macro="" textlink="">
          <xdr:nvSpPr>
            <xdr:cNvPr id="98" name="TextBox 97">
              <a:extLst>
                <a:ext uri="{FF2B5EF4-FFF2-40B4-BE49-F238E27FC236}">
                  <a16:creationId xmlns:a16="http://schemas.microsoft.com/office/drawing/2014/main" id="{97201509-3F7A-DB44-90C3-B0172BA63F7B}"/>
                </a:ext>
              </a:extLst>
            </xdr:cNvPr>
            <xdr:cNvSpPr txBox="1"/>
          </xdr:nvSpPr>
          <xdr:spPr>
            <a:xfrm>
              <a:off x="13520598758" y="132953255"/>
              <a:ext cx="2690254" cy="320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𝐷_2022=(1,890−690)∗4/</a:t>
              </a:r>
              <a:r>
                <a:rPr lang="en-US" sz="1100" b="0" i="0">
                  <a:solidFill>
                    <a:srgbClr val="FF0000"/>
                  </a:solidFill>
                  <a:latin typeface="Cambria Math" panose="02040503050406030204" pitchFamily="18" charset="0"/>
                </a:rPr>
                <a:t>21</a:t>
              </a:r>
              <a:r>
                <a:rPr lang="en-US" sz="1100" b="0" i="0">
                  <a:latin typeface="Cambria Math" panose="02040503050406030204" pitchFamily="18" charset="0"/>
                </a:rPr>
                <a:t>=</a:t>
              </a:r>
              <a:endParaRPr lang="en-US" sz="1100"/>
            </a:p>
          </xdr:txBody>
        </xdr:sp>
      </mc:Fallback>
    </mc:AlternateContent>
    <xdr:clientData/>
  </xdr:oneCellAnchor>
  <xdr:oneCellAnchor>
    <xdr:from>
      <xdr:col>2</xdr:col>
      <xdr:colOff>66843</xdr:colOff>
      <xdr:row>451</xdr:row>
      <xdr:rowOff>138809</xdr:rowOff>
    </xdr:from>
    <xdr:ext cx="2690254" cy="320344"/>
    <mc:AlternateContent xmlns:mc="http://schemas.openxmlformats.org/markup-compatibility/2006" xmlns:a14="http://schemas.microsoft.com/office/drawing/2010/main">
      <mc:Choice Requires="a14">
        <xdr:sp macro="" textlink="">
          <xdr:nvSpPr>
            <xdr:cNvPr id="99" name="TextBox 98">
              <a:extLst>
                <a:ext uri="{FF2B5EF4-FFF2-40B4-BE49-F238E27FC236}">
                  <a16:creationId xmlns:a16="http://schemas.microsoft.com/office/drawing/2014/main" id="{96A8DB0A-3FD2-B646-9164-5E98B416E2E4}"/>
                </a:ext>
              </a:extLst>
            </xdr:cNvPr>
            <xdr:cNvSpPr txBox="1"/>
          </xdr:nvSpPr>
          <xdr:spPr>
            <a:xfrm>
              <a:off x="13520583903" y="133374509"/>
              <a:ext cx="2690254" cy="320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sSub>
                      <m:sSubPr>
                        <m:ctrlPr>
                          <a:rPr lang="en-US" sz="1100" b="0" i="1">
                            <a:latin typeface="Cambria Math" panose="02040503050406030204" pitchFamily="18" charset="0"/>
                          </a:rPr>
                        </m:ctrlPr>
                      </m:sSubPr>
                      <m:e>
                        <m:r>
                          <a:rPr lang="en-US" sz="1100" b="0" i="1">
                            <a:latin typeface="Cambria Math" panose="02040503050406030204" pitchFamily="18" charset="0"/>
                          </a:rPr>
                          <m:t>𝐷</m:t>
                        </m:r>
                      </m:e>
                      <m:sub>
                        <m:r>
                          <a:rPr lang="en-US" sz="1100" b="0" i="1">
                            <a:latin typeface="Cambria Math" panose="02040503050406030204" pitchFamily="18" charset="0"/>
                          </a:rPr>
                          <m:t>2023</m:t>
                        </m:r>
                      </m:sub>
                    </m:sSub>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1,890−690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3</m:t>
                        </m:r>
                      </m:num>
                      <m:den>
                        <m:r>
                          <a:rPr lang="en-US" sz="1100" b="0" i="1">
                            <a:solidFill>
                              <a:srgbClr val="FF0000"/>
                            </a:solidFill>
                            <a:latin typeface="Cambria Math" panose="02040503050406030204" pitchFamily="18" charset="0"/>
                          </a:rPr>
                          <m:t>21</m:t>
                        </m:r>
                      </m:den>
                    </m:f>
                    <m:r>
                      <a:rPr lang="en-US" sz="1100" b="0" i="1">
                        <a:latin typeface="Cambria Math" panose="02040503050406030204" pitchFamily="18" charset="0"/>
                      </a:rPr>
                      <m:t>=</m:t>
                    </m:r>
                  </m:oMath>
                </m:oMathPara>
              </a14:m>
              <a:endParaRPr lang="en-US" sz="1100"/>
            </a:p>
          </xdr:txBody>
        </xdr:sp>
      </mc:Choice>
      <mc:Fallback xmlns="">
        <xdr:sp macro="" textlink="">
          <xdr:nvSpPr>
            <xdr:cNvPr id="99" name="TextBox 98">
              <a:extLst>
                <a:ext uri="{FF2B5EF4-FFF2-40B4-BE49-F238E27FC236}">
                  <a16:creationId xmlns:a16="http://schemas.microsoft.com/office/drawing/2014/main" id="{96A8DB0A-3FD2-B646-9164-5E98B416E2E4}"/>
                </a:ext>
              </a:extLst>
            </xdr:cNvPr>
            <xdr:cNvSpPr txBox="1"/>
          </xdr:nvSpPr>
          <xdr:spPr>
            <a:xfrm>
              <a:off x="13520583903" y="133374509"/>
              <a:ext cx="2690254" cy="320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𝐷_2023=(1,890−690)∗3/</a:t>
              </a:r>
              <a:r>
                <a:rPr lang="en-US" sz="1100" b="0" i="0">
                  <a:solidFill>
                    <a:srgbClr val="FF0000"/>
                  </a:solidFill>
                  <a:latin typeface="Cambria Math" panose="02040503050406030204" pitchFamily="18" charset="0"/>
                </a:rPr>
                <a:t>21</a:t>
              </a:r>
              <a:r>
                <a:rPr lang="en-US" sz="1100" b="0" i="0">
                  <a:latin typeface="Cambria Math" panose="02040503050406030204" pitchFamily="18" charset="0"/>
                </a:rPr>
                <a:t>=</a:t>
              </a:r>
              <a:endParaRPr lang="en-US" sz="1100"/>
            </a:p>
          </xdr:txBody>
        </xdr:sp>
      </mc:Fallback>
    </mc:AlternateContent>
    <xdr:clientData/>
  </xdr:oneCellAnchor>
  <xdr:oneCellAnchor>
    <xdr:from>
      <xdr:col>5</xdr:col>
      <xdr:colOff>34925</xdr:colOff>
      <xdr:row>455</xdr:row>
      <xdr:rowOff>38210</xdr:rowOff>
    </xdr:from>
    <xdr:ext cx="2537713" cy="1404508"/>
    <xdr:pic>
      <xdr:nvPicPr>
        <xdr:cNvPr id="100" name="Picture 99" descr="For German Butchers, a Wurst Case Scenario | Arts &amp; Culture| Smithsonian  Magazine">
          <a:extLst>
            <a:ext uri="{FF2B5EF4-FFF2-40B4-BE49-F238E27FC236}">
              <a16:creationId xmlns:a16="http://schemas.microsoft.com/office/drawing/2014/main" id="{718B4785-E6CF-0E49-88BE-C8F1B8CCD80F}"/>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518291862" y="134086710"/>
          <a:ext cx="2537713" cy="14045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59514</xdr:colOff>
      <xdr:row>477</xdr:row>
      <xdr:rowOff>44562</xdr:rowOff>
    </xdr:from>
    <xdr:ext cx="4127357" cy="1728687"/>
    <xdr:pic>
      <xdr:nvPicPr>
        <xdr:cNvPr id="101" name="Picture 100">
          <a:extLst>
            <a:ext uri="{FF2B5EF4-FFF2-40B4-BE49-F238E27FC236}">
              <a16:creationId xmlns:a16="http://schemas.microsoft.com/office/drawing/2014/main" id="{03FB7C49-2929-3E4B-A90B-35509E667FC0}"/>
            </a:ext>
          </a:extLst>
        </xdr:cNvPr>
        <xdr:cNvPicPr>
          <a:picLocks noChangeAspect="1"/>
        </xdr:cNvPicPr>
      </xdr:nvPicPr>
      <xdr:blipFill>
        <a:blip xmlns:r="http://schemas.openxmlformats.org/officeDocument/2006/relationships" r:embed="rId11"/>
        <a:stretch>
          <a:fillRect/>
        </a:stretch>
      </xdr:blipFill>
      <xdr:spPr>
        <a:xfrm>
          <a:off x="13518328629" y="138157062"/>
          <a:ext cx="4127357" cy="1728687"/>
        </a:xfrm>
        <a:prstGeom prst="rect">
          <a:avLst/>
        </a:prstGeom>
      </xdr:spPr>
    </xdr:pic>
    <xdr:clientData/>
  </xdr:oneCellAnchor>
  <xdr:twoCellAnchor>
    <xdr:from>
      <xdr:col>4</xdr:col>
      <xdr:colOff>375058</xdr:colOff>
      <xdr:row>479</xdr:row>
      <xdr:rowOff>103977</xdr:rowOff>
    </xdr:from>
    <xdr:to>
      <xdr:col>5</xdr:col>
      <xdr:colOff>393625</xdr:colOff>
      <xdr:row>480</xdr:row>
      <xdr:rowOff>85409</xdr:rowOff>
    </xdr:to>
    <xdr:sp macro="" textlink="">
      <xdr:nvSpPr>
        <xdr:cNvPr id="102" name="Rectangle 101">
          <a:extLst>
            <a:ext uri="{FF2B5EF4-FFF2-40B4-BE49-F238E27FC236}">
              <a16:creationId xmlns:a16="http://schemas.microsoft.com/office/drawing/2014/main" id="{425A1AD8-E1F2-8548-9226-FDC24DFC4372}"/>
            </a:ext>
          </a:extLst>
        </xdr:cNvPr>
        <xdr:cNvSpPr/>
      </xdr:nvSpPr>
      <xdr:spPr>
        <a:xfrm>
          <a:off x="13520470875" y="138622877"/>
          <a:ext cx="844067" cy="184632"/>
        </a:xfrm>
        <a:prstGeom prst="rect">
          <a:avLst/>
        </a:prstGeom>
        <a:solidFill>
          <a:schemeClr val="bg1">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ln>
                <a:solidFill>
                  <a:sysClr val="windowText" lastClr="000000"/>
                </a:solidFill>
              </a:ln>
            </a:rPr>
            <a:t>בואו נתחיל</a:t>
          </a:r>
          <a:endParaRPr lang="en-US" sz="1100">
            <a:ln>
              <a:solidFill>
                <a:sysClr val="windowText" lastClr="000000"/>
              </a:solidFill>
            </a:ln>
          </a:endParaRPr>
        </a:p>
      </xdr:txBody>
    </xdr:sp>
    <xdr:clientData/>
  </xdr:twoCellAnchor>
  <xdr:oneCellAnchor>
    <xdr:from>
      <xdr:col>0</xdr:col>
      <xdr:colOff>453041</xdr:colOff>
      <xdr:row>486</xdr:row>
      <xdr:rowOff>167370</xdr:rowOff>
    </xdr:from>
    <xdr:ext cx="396187" cy="303112"/>
    <xdr:pic>
      <xdr:nvPicPr>
        <xdr:cNvPr id="103" name="Picture 102">
          <a:extLst>
            <a:ext uri="{FF2B5EF4-FFF2-40B4-BE49-F238E27FC236}">
              <a16:creationId xmlns:a16="http://schemas.microsoft.com/office/drawing/2014/main" id="{2FAEED91-C780-F249-8073-29A14A65FE3B}"/>
            </a:ext>
          </a:extLst>
        </xdr:cNvPr>
        <xdr:cNvPicPr>
          <a:picLocks noChangeAspect="1"/>
        </xdr:cNvPicPr>
      </xdr:nvPicPr>
      <xdr:blipFill>
        <a:blip xmlns:r="http://schemas.openxmlformats.org/officeDocument/2006/relationships" r:embed="rId12"/>
        <a:stretch>
          <a:fillRect/>
        </a:stretch>
      </xdr:blipFill>
      <xdr:spPr>
        <a:xfrm>
          <a:off x="13524142772" y="140108670"/>
          <a:ext cx="396187" cy="303112"/>
        </a:xfrm>
        <a:prstGeom prst="rect">
          <a:avLst/>
        </a:prstGeom>
      </xdr:spPr>
    </xdr:pic>
    <xdr:clientData/>
  </xdr:oneCellAnchor>
  <xdr:oneCellAnchor>
    <xdr:from>
      <xdr:col>1</xdr:col>
      <xdr:colOff>14854</xdr:colOff>
      <xdr:row>487</xdr:row>
      <xdr:rowOff>152516</xdr:rowOff>
    </xdr:from>
    <xdr:ext cx="392883" cy="303111"/>
    <xdr:pic>
      <xdr:nvPicPr>
        <xdr:cNvPr id="104" name="Picture 103">
          <a:extLst>
            <a:ext uri="{FF2B5EF4-FFF2-40B4-BE49-F238E27FC236}">
              <a16:creationId xmlns:a16="http://schemas.microsoft.com/office/drawing/2014/main" id="{F666FAD4-094C-794D-9EED-2C654315607F}"/>
            </a:ext>
          </a:extLst>
        </xdr:cNvPr>
        <xdr:cNvPicPr>
          <a:picLocks noChangeAspect="1"/>
        </xdr:cNvPicPr>
      </xdr:nvPicPr>
      <xdr:blipFill>
        <a:blip xmlns:r="http://schemas.openxmlformats.org/officeDocument/2006/relationships" r:embed="rId12"/>
        <a:stretch>
          <a:fillRect/>
        </a:stretch>
      </xdr:blipFill>
      <xdr:spPr>
        <a:xfrm>
          <a:off x="13523758763" y="140297016"/>
          <a:ext cx="392883" cy="303111"/>
        </a:xfrm>
        <a:prstGeom prst="rect">
          <a:avLst/>
        </a:prstGeom>
      </xdr:spPr>
    </xdr:pic>
    <xdr:clientData/>
  </xdr:oneCellAnchor>
  <xdr:oneCellAnchor>
    <xdr:from>
      <xdr:col>1</xdr:col>
      <xdr:colOff>412193</xdr:colOff>
      <xdr:row>488</xdr:row>
      <xdr:rowOff>141375</xdr:rowOff>
    </xdr:from>
    <xdr:ext cx="392883" cy="303111"/>
    <xdr:pic>
      <xdr:nvPicPr>
        <xdr:cNvPr id="105" name="Picture 104">
          <a:extLst>
            <a:ext uri="{FF2B5EF4-FFF2-40B4-BE49-F238E27FC236}">
              <a16:creationId xmlns:a16="http://schemas.microsoft.com/office/drawing/2014/main" id="{2ADC7AF8-28D1-E148-80B4-5FDF01E291D9}"/>
            </a:ext>
          </a:extLst>
        </xdr:cNvPr>
        <xdr:cNvPicPr>
          <a:picLocks noChangeAspect="1"/>
        </xdr:cNvPicPr>
      </xdr:nvPicPr>
      <xdr:blipFill>
        <a:blip xmlns:r="http://schemas.openxmlformats.org/officeDocument/2006/relationships" r:embed="rId12"/>
        <a:stretch>
          <a:fillRect/>
        </a:stretch>
      </xdr:blipFill>
      <xdr:spPr>
        <a:xfrm>
          <a:off x="13523361424" y="140489075"/>
          <a:ext cx="392883" cy="303111"/>
        </a:xfrm>
        <a:prstGeom prst="rect">
          <a:avLst/>
        </a:prstGeom>
      </xdr:spPr>
    </xdr:pic>
    <xdr:clientData/>
  </xdr:oneCellAnchor>
  <xdr:oneCellAnchor>
    <xdr:from>
      <xdr:col>1</xdr:col>
      <xdr:colOff>92837</xdr:colOff>
      <xdr:row>490</xdr:row>
      <xdr:rowOff>171084</xdr:rowOff>
    </xdr:from>
    <xdr:ext cx="392883" cy="303111"/>
    <xdr:pic>
      <xdr:nvPicPr>
        <xdr:cNvPr id="106" name="Picture 105">
          <a:extLst>
            <a:ext uri="{FF2B5EF4-FFF2-40B4-BE49-F238E27FC236}">
              <a16:creationId xmlns:a16="http://schemas.microsoft.com/office/drawing/2014/main" id="{BE56F4C5-8ACA-8049-ACEA-1C881B622A94}"/>
            </a:ext>
          </a:extLst>
        </xdr:cNvPr>
        <xdr:cNvPicPr>
          <a:picLocks noChangeAspect="1"/>
        </xdr:cNvPicPr>
      </xdr:nvPicPr>
      <xdr:blipFill>
        <a:blip xmlns:r="http://schemas.openxmlformats.org/officeDocument/2006/relationships" r:embed="rId12"/>
        <a:stretch>
          <a:fillRect/>
        </a:stretch>
      </xdr:blipFill>
      <xdr:spPr>
        <a:xfrm>
          <a:off x="13523680780" y="140925184"/>
          <a:ext cx="392883" cy="303111"/>
        </a:xfrm>
        <a:prstGeom prst="rect">
          <a:avLst/>
        </a:prstGeom>
      </xdr:spPr>
    </xdr:pic>
    <xdr:clientData/>
  </xdr:oneCellAnchor>
  <xdr:twoCellAnchor>
    <xdr:from>
      <xdr:col>0</xdr:col>
      <xdr:colOff>393700</xdr:colOff>
      <xdr:row>502</xdr:row>
      <xdr:rowOff>85725</xdr:rowOff>
    </xdr:from>
    <xdr:to>
      <xdr:col>7</xdr:col>
      <xdr:colOff>495300</xdr:colOff>
      <xdr:row>502</xdr:row>
      <xdr:rowOff>95250</xdr:rowOff>
    </xdr:to>
    <xdr:cxnSp macro="">
      <xdr:nvCxnSpPr>
        <xdr:cNvPr id="107" name="Straight Arrow Connector 106">
          <a:extLst>
            <a:ext uri="{FF2B5EF4-FFF2-40B4-BE49-F238E27FC236}">
              <a16:creationId xmlns:a16="http://schemas.microsoft.com/office/drawing/2014/main" id="{D44262F3-5700-094C-A9D0-BA68DEECF619}"/>
            </a:ext>
          </a:extLst>
        </xdr:cNvPr>
        <xdr:cNvCxnSpPr/>
      </xdr:nvCxnSpPr>
      <xdr:spPr>
        <a:xfrm>
          <a:off x="13518718200" y="143278225"/>
          <a:ext cx="5880100" cy="9525"/>
        </a:xfrm>
        <a:prstGeom prst="straightConnector1">
          <a:avLst/>
        </a:prstGeom>
        <a:ln w="19050" cap="flat" cmpd="sng" algn="ctr">
          <a:solidFill>
            <a:schemeClr val="dk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250825</xdr:colOff>
      <xdr:row>499</xdr:row>
      <xdr:rowOff>203124</xdr:rowOff>
    </xdr:from>
    <xdr:to>
      <xdr:col>7</xdr:col>
      <xdr:colOff>323850</xdr:colOff>
      <xdr:row>501</xdr:row>
      <xdr:rowOff>6350</xdr:rowOff>
    </xdr:to>
    <xdr:sp macro="" textlink="">
      <xdr:nvSpPr>
        <xdr:cNvPr id="108" name="Freeform 107">
          <a:extLst>
            <a:ext uri="{FF2B5EF4-FFF2-40B4-BE49-F238E27FC236}">
              <a16:creationId xmlns:a16="http://schemas.microsoft.com/office/drawing/2014/main" id="{8EDFD84A-D566-AB4A-84F7-E305F871900D}"/>
            </a:ext>
          </a:extLst>
        </xdr:cNvPr>
        <xdr:cNvSpPr/>
      </xdr:nvSpPr>
      <xdr:spPr>
        <a:xfrm>
          <a:off x="13518889650" y="142786024"/>
          <a:ext cx="1724025" cy="209626"/>
        </a:xfrm>
        <a:custGeom>
          <a:avLst/>
          <a:gdLst>
            <a:gd name="connsiteX0" fmla="*/ 0 w 1724025"/>
            <a:gd name="connsiteY0" fmla="*/ 190576 h 209626"/>
            <a:gd name="connsiteX1" fmla="*/ 850900 w 1724025"/>
            <a:gd name="connsiteY1" fmla="*/ 76 h 209626"/>
            <a:gd name="connsiteX2" fmla="*/ 1724025 w 1724025"/>
            <a:gd name="connsiteY2" fmla="*/ 209626 h 209626"/>
          </a:gdLst>
          <a:ahLst/>
          <a:cxnLst>
            <a:cxn ang="0">
              <a:pos x="connsiteX0" y="connsiteY0"/>
            </a:cxn>
            <a:cxn ang="0">
              <a:pos x="connsiteX1" y="connsiteY1"/>
            </a:cxn>
            <a:cxn ang="0">
              <a:pos x="connsiteX2" y="connsiteY2"/>
            </a:cxn>
          </a:cxnLst>
          <a:rect l="l" t="t" r="r" b="b"/>
          <a:pathLst>
            <a:path w="1724025" h="209626">
              <a:moveTo>
                <a:pt x="0" y="190576"/>
              </a:moveTo>
              <a:cubicBezTo>
                <a:pt x="281781" y="93738"/>
                <a:pt x="563563" y="-3099"/>
                <a:pt x="850900" y="76"/>
              </a:cubicBezTo>
              <a:cubicBezTo>
                <a:pt x="1138237" y="3251"/>
                <a:pt x="1431131" y="106438"/>
                <a:pt x="1724025" y="209626"/>
              </a:cubicBezTo>
            </a:path>
          </a:pathLst>
        </a:cu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3</xdr:col>
      <xdr:colOff>107950</xdr:colOff>
      <xdr:row>500</xdr:row>
      <xdr:rowOff>25324</xdr:rowOff>
    </xdr:from>
    <xdr:to>
      <xdr:col>5</xdr:col>
      <xdr:colOff>180975</xdr:colOff>
      <xdr:row>501</xdr:row>
      <xdr:rowOff>31750</xdr:rowOff>
    </xdr:to>
    <xdr:sp macro="" textlink="">
      <xdr:nvSpPr>
        <xdr:cNvPr id="109" name="Freeform 108">
          <a:extLst>
            <a:ext uri="{FF2B5EF4-FFF2-40B4-BE49-F238E27FC236}">
              <a16:creationId xmlns:a16="http://schemas.microsoft.com/office/drawing/2014/main" id="{5F89E4B9-5778-774B-B151-01C2C74AE0FD}"/>
            </a:ext>
          </a:extLst>
        </xdr:cNvPr>
        <xdr:cNvSpPr/>
      </xdr:nvSpPr>
      <xdr:spPr>
        <a:xfrm>
          <a:off x="13520683525" y="142811424"/>
          <a:ext cx="1724025" cy="209626"/>
        </a:xfrm>
        <a:custGeom>
          <a:avLst/>
          <a:gdLst>
            <a:gd name="connsiteX0" fmla="*/ 0 w 1724025"/>
            <a:gd name="connsiteY0" fmla="*/ 190576 h 209626"/>
            <a:gd name="connsiteX1" fmla="*/ 850900 w 1724025"/>
            <a:gd name="connsiteY1" fmla="*/ 76 h 209626"/>
            <a:gd name="connsiteX2" fmla="*/ 1724025 w 1724025"/>
            <a:gd name="connsiteY2" fmla="*/ 209626 h 209626"/>
          </a:gdLst>
          <a:ahLst/>
          <a:cxnLst>
            <a:cxn ang="0">
              <a:pos x="connsiteX0" y="connsiteY0"/>
            </a:cxn>
            <a:cxn ang="0">
              <a:pos x="connsiteX1" y="connsiteY1"/>
            </a:cxn>
            <a:cxn ang="0">
              <a:pos x="connsiteX2" y="connsiteY2"/>
            </a:cxn>
          </a:cxnLst>
          <a:rect l="l" t="t" r="r" b="b"/>
          <a:pathLst>
            <a:path w="1724025" h="209626">
              <a:moveTo>
                <a:pt x="0" y="190576"/>
              </a:moveTo>
              <a:cubicBezTo>
                <a:pt x="281781" y="93738"/>
                <a:pt x="563563" y="-3099"/>
                <a:pt x="850900" y="76"/>
              </a:cubicBezTo>
              <a:cubicBezTo>
                <a:pt x="1138237" y="3251"/>
                <a:pt x="1431131" y="106438"/>
                <a:pt x="1724025" y="209626"/>
              </a:cubicBezTo>
            </a:path>
          </a:pathLst>
        </a:cu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9525</xdr:colOff>
      <xdr:row>500</xdr:row>
      <xdr:rowOff>31674</xdr:rowOff>
    </xdr:from>
    <xdr:to>
      <xdr:col>3</xdr:col>
      <xdr:colOff>82550</xdr:colOff>
      <xdr:row>501</xdr:row>
      <xdr:rowOff>38100</xdr:rowOff>
    </xdr:to>
    <xdr:sp macro="" textlink="">
      <xdr:nvSpPr>
        <xdr:cNvPr id="110" name="Freeform 109">
          <a:extLst>
            <a:ext uri="{FF2B5EF4-FFF2-40B4-BE49-F238E27FC236}">
              <a16:creationId xmlns:a16="http://schemas.microsoft.com/office/drawing/2014/main" id="{C736F95A-53F6-7742-8350-2819C0F23B16}"/>
            </a:ext>
          </a:extLst>
        </xdr:cNvPr>
        <xdr:cNvSpPr/>
      </xdr:nvSpPr>
      <xdr:spPr>
        <a:xfrm>
          <a:off x="13522432950" y="142817774"/>
          <a:ext cx="1724025" cy="209626"/>
        </a:xfrm>
        <a:custGeom>
          <a:avLst/>
          <a:gdLst>
            <a:gd name="connsiteX0" fmla="*/ 0 w 1724025"/>
            <a:gd name="connsiteY0" fmla="*/ 190576 h 209626"/>
            <a:gd name="connsiteX1" fmla="*/ 850900 w 1724025"/>
            <a:gd name="connsiteY1" fmla="*/ 76 h 209626"/>
            <a:gd name="connsiteX2" fmla="*/ 1724025 w 1724025"/>
            <a:gd name="connsiteY2" fmla="*/ 209626 h 209626"/>
          </a:gdLst>
          <a:ahLst/>
          <a:cxnLst>
            <a:cxn ang="0">
              <a:pos x="connsiteX0" y="connsiteY0"/>
            </a:cxn>
            <a:cxn ang="0">
              <a:pos x="connsiteX1" y="connsiteY1"/>
            </a:cxn>
            <a:cxn ang="0">
              <a:pos x="connsiteX2" y="connsiteY2"/>
            </a:cxn>
          </a:cxnLst>
          <a:rect l="l" t="t" r="r" b="b"/>
          <a:pathLst>
            <a:path w="1724025" h="209626">
              <a:moveTo>
                <a:pt x="0" y="190576"/>
              </a:moveTo>
              <a:cubicBezTo>
                <a:pt x="281781" y="93738"/>
                <a:pt x="563563" y="-3099"/>
                <a:pt x="850900" y="76"/>
              </a:cubicBezTo>
              <a:cubicBezTo>
                <a:pt x="1138237" y="3251"/>
                <a:pt x="1431131" y="106438"/>
                <a:pt x="1724025" y="209626"/>
              </a:cubicBezTo>
            </a:path>
          </a:pathLst>
        </a:cu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6</xdr:col>
      <xdr:colOff>355600</xdr:colOff>
      <xdr:row>502</xdr:row>
      <xdr:rowOff>57149</xdr:rowOff>
    </xdr:from>
    <xdr:to>
      <xdr:col>7</xdr:col>
      <xdr:colOff>393700</xdr:colOff>
      <xdr:row>503</xdr:row>
      <xdr:rowOff>28574</xdr:rowOff>
    </xdr:to>
    <xdr:sp macro="" textlink="">
      <xdr:nvSpPr>
        <xdr:cNvPr id="111" name="Left Brace 110">
          <a:extLst>
            <a:ext uri="{FF2B5EF4-FFF2-40B4-BE49-F238E27FC236}">
              <a16:creationId xmlns:a16="http://schemas.microsoft.com/office/drawing/2014/main" id="{D2468483-EDC1-674B-91A7-BD4D6E2F3C3C}"/>
            </a:ext>
          </a:extLst>
        </xdr:cNvPr>
        <xdr:cNvSpPr/>
      </xdr:nvSpPr>
      <xdr:spPr>
        <a:xfrm rot="16200000">
          <a:off x="13519164287" y="142905162"/>
          <a:ext cx="174625" cy="863600"/>
        </a:xfrm>
        <a:prstGeom prst="leftBrace">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oneCellAnchor>
    <xdr:from>
      <xdr:col>6</xdr:col>
      <xdr:colOff>663575</xdr:colOff>
      <xdr:row>503</xdr:row>
      <xdr:rowOff>66675</xdr:rowOff>
    </xdr:from>
    <xdr:ext cx="247768" cy="316882"/>
    <mc:AlternateContent xmlns:mc="http://schemas.openxmlformats.org/markup-compatibility/2006" xmlns:a14="http://schemas.microsoft.com/office/drawing/2010/main">
      <mc:Choice Requires="a14">
        <xdr:sp macro="" textlink="">
          <xdr:nvSpPr>
            <xdr:cNvPr id="112" name="TextBox 111">
              <a:extLst>
                <a:ext uri="{FF2B5EF4-FFF2-40B4-BE49-F238E27FC236}">
                  <a16:creationId xmlns:a16="http://schemas.microsoft.com/office/drawing/2014/main" id="{EC521A19-3FA3-1A4F-A630-A72F234F4340}"/>
                </a:ext>
              </a:extLst>
            </xdr:cNvPr>
            <xdr:cNvSpPr txBox="1"/>
          </xdr:nvSpPr>
          <xdr:spPr>
            <a:xfrm>
              <a:off x="13519127657" y="143462375"/>
              <a:ext cx="247768"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1100" b="0" i="1">
                            <a:latin typeface="Cambria Math" panose="02040503050406030204" pitchFamily="18" charset="0"/>
                          </a:rPr>
                        </m:ctrlPr>
                      </m:fPr>
                      <m:num>
                        <m:r>
                          <a:rPr lang="en-US" sz="1100" b="0" i="1">
                            <a:latin typeface="Cambria Math" panose="02040503050406030204" pitchFamily="18" charset="0"/>
                          </a:rPr>
                          <m:t>9</m:t>
                        </m:r>
                      </m:num>
                      <m:den>
                        <m:r>
                          <a:rPr lang="en-US" sz="1100" b="0" i="1">
                            <a:latin typeface="Cambria Math" panose="02040503050406030204" pitchFamily="18" charset="0"/>
                          </a:rPr>
                          <m:t>12</m:t>
                        </m:r>
                      </m:den>
                    </m:f>
                  </m:oMath>
                </m:oMathPara>
              </a14:m>
              <a:endParaRPr lang="en-US" sz="1100"/>
            </a:p>
          </xdr:txBody>
        </xdr:sp>
      </mc:Choice>
      <mc:Fallback xmlns="">
        <xdr:sp macro="" textlink="">
          <xdr:nvSpPr>
            <xdr:cNvPr id="112" name="TextBox 111">
              <a:extLst>
                <a:ext uri="{FF2B5EF4-FFF2-40B4-BE49-F238E27FC236}">
                  <a16:creationId xmlns:a16="http://schemas.microsoft.com/office/drawing/2014/main" id="{EC521A19-3FA3-1A4F-A630-A72F234F4340}"/>
                </a:ext>
              </a:extLst>
            </xdr:cNvPr>
            <xdr:cNvSpPr txBox="1"/>
          </xdr:nvSpPr>
          <xdr:spPr>
            <a:xfrm>
              <a:off x="13519127657" y="143462375"/>
              <a:ext cx="247768"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9/12</a:t>
              </a:r>
              <a:endParaRPr lang="en-US" sz="1100"/>
            </a:p>
          </xdr:txBody>
        </xdr:sp>
      </mc:Fallback>
    </mc:AlternateContent>
    <xdr:clientData/>
  </xdr:oneCellAnchor>
  <xdr:oneCellAnchor>
    <xdr:from>
      <xdr:col>3</xdr:col>
      <xdr:colOff>349251</xdr:colOff>
      <xdr:row>505</xdr:row>
      <xdr:rowOff>88900</xdr:rowOff>
    </xdr:from>
    <xdr:ext cx="3292593" cy="427489"/>
    <mc:AlternateContent xmlns:mc="http://schemas.openxmlformats.org/markup-compatibility/2006" xmlns:a14="http://schemas.microsoft.com/office/drawing/2010/main">
      <mc:Choice Requires="a14">
        <xdr:sp macro="" textlink="">
          <xdr:nvSpPr>
            <xdr:cNvPr id="113" name="TextBox 112">
              <a:extLst>
                <a:ext uri="{FF2B5EF4-FFF2-40B4-BE49-F238E27FC236}">
                  <a16:creationId xmlns:a16="http://schemas.microsoft.com/office/drawing/2014/main" id="{D9A0E649-EE3D-6B49-99E8-7ECA5D9A3EE7}"/>
                </a:ext>
              </a:extLst>
            </xdr:cNvPr>
            <xdr:cNvSpPr txBox="1"/>
          </xdr:nvSpPr>
          <xdr:spPr>
            <a:xfrm>
              <a:off x="13518873656" y="143891000"/>
              <a:ext cx="3292593" cy="427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sSub>
                      <m:sSubPr>
                        <m:ctrlPr>
                          <a:rPr lang="en-US" sz="1100" b="0" i="1">
                            <a:latin typeface="Cambria Math" panose="02040503050406030204" pitchFamily="18" charset="0"/>
                          </a:rPr>
                        </m:ctrlPr>
                      </m:sSubPr>
                      <m:e>
                        <m:r>
                          <a:rPr lang="en-US" sz="1100" b="0" i="1">
                            <a:latin typeface="Cambria Math" panose="02040503050406030204" pitchFamily="18" charset="0"/>
                          </a:rPr>
                          <m:t>𝐷</m:t>
                        </m:r>
                      </m:e>
                      <m:sub>
                        <m:r>
                          <a:rPr lang="en-US" sz="1100" b="0" i="1">
                            <a:latin typeface="Cambria Math" panose="02040503050406030204" pitchFamily="18" charset="0"/>
                          </a:rPr>
                          <m:t>2018</m:t>
                        </m:r>
                      </m:sub>
                    </m:sSub>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5,000,000−800,000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10∗</m:t>
                        </m:r>
                        <m:f>
                          <m:fPr>
                            <m:ctrlPr>
                              <a:rPr lang="en-US" sz="1100" b="0" i="1">
                                <a:latin typeface="Cambria Math" panose="02040503050406030204" pitchFamily="18" charset="0"/>
                              </a:rPr>
                            </m:ctrlPr>
                          </m:fPr>
                          <m:num>
                            <m:r>
                              <a:rPr lang="en-US" sz="1100" b="0" i="1">
                                <a:latin typeface="Cambria Math" panose="02040503050406030204" pitchFamily="18" charset="0"/>
                              </a:rPr>
                              <m:t>9</m:t>
                            </m:r>
                          </m:num>
                          <m:den>
                            <m:r>
                              <a:rPr lang="en-US" sz="1100" b="0" i="1">
                                <a:latin typeface="Cambria Math" panose="02040503050406030204" pitchFamily="18" charset="0"/>
                              </a:rPr>
                              <m:t>12</m:t>
                            </m:r>
                          </m:den>
                        </m:f>
                      </m:num>
                      <m:den>
                        <m:r>
                          <a:rPr lang="en-US" sz="1100" b="0" i="1">
                            <a:latin typeface="Cambria Math" panose="02040503050406030204" pitchFamily="18" charset="0"/>
                          </a:rPr>
                          <m:t>55</m:t>
                        </m:r>
                      </m:den>
                    </m:f>
                    <m:r>
                      <a:rPr lang="en-US" sz="1100" b="0" i="1">
                        <a:latin typeface="Cambria Math" panose="02040503050406030204" pitchFamily="18" charset="0"/>
                      </a:rPr>
                      <m:t>=</m:t>
                    </m:r>
                  </m:oMath>
                </m:oMathPara>
              </a14:m>
              <a:endParaRPr lang="en-US" sz="1100"/>
            </a:p>
          </xdr:txBody>
        </xdr:sp>
      </mc:Choice>
      <mc:Fallback xmlns="">
        <xdr:sp macro="" textlink="">
          <xdr:nvSpPr>
            <xdr:cNvPr id="113" name="TextBox 112">
              <a:extLst>
                <a:ext uri="{FF2B5EF4-FFF2-40B4-BE49-F238E27FC236}">
                  <a16:creationId xmlns:a16="http://schemas.microsoft.com/office/drawing/2014/main" id="{D9A0E649-EE3D-6B49-99E8-7ECA5D9A3EE7}"/>
                </a:ext>
              </a:extLst>
            </xdr:cNvPr>
            <xdr:cNvSpPr txBox="1"/>
          </xdr:nvSpPr>
          <xdr:spPr>
            <a:xfrm>
              <a:off x="13518873656" y="143891000"/>
              <a:ext cx="3292593" cy="427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𝐷_2018=(5,000,000−800,000)∗(10∗9/12)/55=</a:t>
              </a:r>
              <a:endParaRPr lang="en-US" sz="1100"/>
            </a:p>
          </xdr:txBody>
        </xdr:sp>
      </mc:Fallback>
    </mc:AlternateContent>
    <xdr:clientData/>
  </xdr:oneCellAnchor>
  <xdr:twoCellAnchor>
    <xdr:from>
      <xdr:col>5</xdr:col>
      <xdr:colOff>285749</xdr:colOff>
      <xdr:row>502</xdr:row>
      <xdr:rowOff>53974</xdr:rowOff>
    </xdr:from>
    <xdr:to>
      <xdr:col>6</xdr:col>
      <xdr:colOff>323849</xdr:colOff>
      <xdr:row>503</xdr:row>
      <xdr:rowOff>25399</xdr:rowOff>
    </xdr:to>
    <xdr:sp macro="" textlink="">
      <xdr:nvSpPr>
        <xdr:cNvPr id="114" name="Left Brace 113">
          <a:extLst>
            <a:ext uri="{FF2B5EF4-FFF2-40B4-BE49-F238E27FC236}">
              <a16:creationId xmlns:a16="http://schemas.microsoft.com/office/drawing/2014/main" id="{B9FA22C1-611A-0C43-9810-1D7D871BF9E9}"/>
            </a:ext>
          </a:extLst>
        </xdr:cNvPr>
        <xdr:cNvSpPr/>
      </xdr:nvSpPr>
      <xdr:spPr>
        <a:xfrm rot="16200000">
          <a:off x="13520059638" y="142901987"/>
          <a:ext cx="174625" cy="863600"/>
        </a:xfrm>
        <a:prstGeom prst="leftBrace">
          <a:avLst/>
        </a:prstGeom>
      </xdr:spPr>
      <xdr:style>
        <a:lnRef idx="3">
          <a:schemeClr val="accent6"/>
        </a:lnRef>
        <a:fillRef idx="0">
          <a:schemeClr val="accent6"/>
        </a:fillRef>
        <a:effectRef idx="2">
          <a:schemeClr val="accent6"/>
        </a:effectRef>
        <a:fontRef idx="minor">
          <a:schemeClr val="tx1"/>
        </a:fontRef>
      </xdr:style>
      <xdr:txBody>
        <a:bodyPr vertOverflow="clip" horzOverflow="clip" rtlCol="0" anchor="t"/>
        <a:lstStyle/>
        <a:p>
          <a:pPr algn="r" rtl="1"/>
          <a:endParaRPr lang="en-US" sz="1100"/>
        </a:p>
      </xdr:txBody>
    </xdr:sp>
    <xdr:clientData/>
  </xdr:twoCellAnchor>
  <xdr:oneCellAnchor>
    <xdr:from>
      <xdr:col>5</xdr:col>
      <xdr:colOff>584200</xdr:colOff>
      <xdr:row>503</xdr:row>
      <xdr:rowOff>66675</xdr:rowOff>
    </xdr:from>
    <xdr:ext cx="247768" cy="316882"/>
    <mc:AlternateContent xmlns:mc="http://schemas.openxmlformats.org/markup-compatibility/2006" xmlns:a14="http://schemas.microsoft.com/office/drawing/2010/main">
      <mc:Choice Requires="a14">
        <xdr:sp macro="" textlink="">
          <xdr:nvSpPr>
            <xdr:cNvPr id="115" name="TextBox 114">
              <a:extLst>
                <a:ext uri="{FF2B5EF4-FFF2-40B4-BE49-F238E27FC236}">
                  <a16:creationId xmlns:a16="http://schemas.microsoft.com/office/drawing/2014/main" id="{7F32043D-DA2D-AE4F-8061-91491C16F7F8}"/>
                </a:ext>
              </a:extLst>
            </xdr:cNvPr>
            <xdr:cNvSpPr txBox="1"/>
          </xdr:nvSpPr>
          <xdr:spPr>
            <a:xfrm>
              <a:off x="13520032532" y="143462375"/>
              <a:ext cx="247768"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1100" b="0" i="1">
                            <a:latin typeface="Cambria Math" panose="02040503050406030204" pitchFamily="18" charset="0"/>
                          </a:rPr>
                        </m:ctrlPr>
                      </m:fPr>
                      <m:num>
                        <m:r>
                          <a:rPr lang="en-US" sz="1100" b="0" i="1">
                            <a:latin typeface="Cambria Math" panose="02040503050406030204" pitchFamily="18" charset="0"/>
                          </a:rPr>
                          <m:t>3</m:t>
                        </m:r>
                      </m:num>
                      <m:den>
                        <m:r>
                          <a:rPr lang="en-US" sz="1100" b="0" i="1">
                            <a:latin typeface="Cambria Math" panose="02040503050406030204" pitchFamily="18" charset="0"/>
                          </a:rPr>
                          <m:t>12</m:t>
                        </m:r>
                      </m:den>
                    </m:f>
                  </m:oMath>
                </m:oMathPara>
              </a14:m>
              <a:endParaRPr lang="en-US" sz="1100"/>
            </a:p>
          </xdr:txBody>
        </xdr:sp>
      </mc:Choice>
      <mc:Fallback xmlns="">
        <xdr:sp macro="" textlink="">
          <xdr:nvSpPr>
            <xdr:cNvPr id="115" name="TextBox 114">
              <a:extLst>
                <a:ext uri="{FF2B5EF4-FFF2-40B4-BE49-F238E27FC236}">
                  <a16:creationId xmlns:a16="http://schemas.microsoft.com/office/drawing/2014/main" id="{7F32043D-DA2D-AE4F-8061-91491C16F7F8}"/>
                </a:ext>
              </a:extLst>
            </xdr:cNvPr>
            <xdr:cNvSpPr txBox="1"/>
          </xdr:nvSpPr>
          <xdr:spPr>
            <a:xfrm>
              <a:off x="13520032532" y="143462375"/>
              <a:ext cx="247768"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3/12</a:t>
              </a:r>
              <a:endParaRPr lang="en-US" sz="1100"/>
            </a:p>
          </xdr:txBody>
        </xdr:sp>
      </mc:Fallback>
    </mc:AlternateContent>
    <xdr:clientData/>
  </xdr:oneCellAnchor>
  <xdr:twoCellAnchor>
    <xdr:from>
      <xdr:col>4</xdr:col>
      <xdr:colOff>206372</xdr:colOff>
      <xdr:row>502</xdr:row>
      <xdr:rowOff>53974</xdr:rowOff>
    </xdr:from>
    <xdr:to>
      <xdr:col>5</xdr:col>
      <xdr:colOff>244472</xdr:colOff>
      <xdr:row>503</xdr:row>
      <xdr:rowOff>25399</xdr:rowOff>
    </xdr:to>
    <xdr:sp macro="" textlink="">
      <xdr:nvSpPr>
        <xdr:cNvPr id="116" name="Left Brace 115">
          <a:extLst>
            <a:ext uri="{FF2B5EF4-FFF2-40B4-BE49-F238E27FC236}">
              <a16:creationId xmlns:a16="http://schemas.microsoft.com/office/drawing/2014/main" id="{F0314E0A-7324-F44B-8C34-0BD55F816E04}"/>
            </a:ext>
          </a:extLst>
        </xdr:cNvPr>
        <xdr:cNvSpPr/>
      </xdr:nvSpPr>
      <xdr:spPr>
        <a:xfrm rot="16200000">
          <a:off x="13520964515" y="142901987"/>
          <a:ext cx="174625" cy="863600"/>
        </a:xfrm>
        <a:prstGeom prst="leftBrace">
          <a:avLst/>
        </a:prstGeom>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r" rtl="1"/>
          <a:endParaRPr lang="en-US" sz="1100"/>
        </a:p>
      </xdr:txBody>
    </xdr:sp>
    <xdr:clientData/>
  </xdr:twoCellAnchor>
  <xdr:oneCellAnchor>
    <xdr:from>
      <xdr:col>4</xdr:col>
      <xdr:colOff>504825</xdr:colOff>
      <xdr:row>503</xdr:row>
      <xdr:rowOff>63500</xdr:rowOff>
    </xdr:from>
    <xdr:ext cx="247768" cy="316882"/>
    <mc:AlternateContent xmlns:mc="http://schemas.openxmlformats.org/markup-compatibility/2006" xmlns:a14="http://schemas.microsoft.com/office/drawing/2010/main">
      <mc:Choice Requires="a14">
        <xdr:sp macro="" textlink="">
          <xdr:nvSpPr>
            <xdr:cNvPr id="117" name="TextBox 116">
              <a:extLst>
                <a:ext uri="{FF2B5EF4-FFF2-40B4-BE49-F238E27FC236}">
                  <a16:creationId xmlns:a16="http://schemas.microsoft.com/office/drawing/2014/main" id="{1BEBFE60-D09F-B748-939C-8977DDCED014}"/>
                </a:ext>
              </a:extLst>
            </xdr:cNvPr>
            <xdr:cNvSpPr txBox="1"/>
          </xdr:nvSpPr>
          <xdr:spPr>
            <a:xfrm>
              <a:off x="13520937407" y="143459200"/>
              <a:ext cx="247768"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1100" b="0" i="1">
                            <a:latin typeface="Cambria Math" panose="02040503050406030204" pitchFamily="18" charset="0"/>
                          </a:rPr>
                        </m:ctrlPr>
                      </m:fPr>
                      <m:num>
                        <m:r>
                          <a:rPr lang="en-US" sz="1100" b="0" i="1">
                            <a:latin typeface="Cambria Math" panose="02040503050406030204" pitchFamily="18" charset="0"/>
                          </a:rPr>
                          <m:t>9</m:t>
                        </m:r>
                      </m:num>
                      <m:den>
                        <m:r>
                          <a:rPr lang="en-US" sz="1100" b="0" i="1">
                            <a:latin typeface="Cambria Math" panose="02040503050406030204" pitchFamily="18" charset="0"/>
                          </a:rPr>
                          <m:t>12</m:t>
                        </m:r>
                      </m:den>
                    </m:f>
                  </m:oMath>
                </m:oMathPara>
              </a14:m>
              <a:endParaRPr lang="en-US" sz="1100"/>
            </a:p>
          </xdr:txBody>
        </xdr:sp>
      </mc:Choice>
      <mc:Fallback xmlns="">
        <xdr:sp macro="" textlink="">
          <xdr:nvSpPr>
            <xdr:cNvPr id="117" name="TextBox 116">
              <a:extLst>
                <a:ext uri="{FF2B5EF4-FFF2-40B4-BE49-F238E27FC236}">
                  <a16:creationId xmlns:a16="http://schemas.microsoft.com/office/drawing/2014/main" id="{1BEBFE60-D09F-B748-939C-8977DDCED014}"/>
                </a:ext>
              </a:extLst>
            </xdr:cNvPr>
            <xdr:cNvSpPr txBox="1"/>
          </xdr:nvSpPr>
          <xdr:spPr>
            <a:xfrm>
              <a:off x="13520937407" y="143459200"/>
              <a:ext cx="247768"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9/12</a:t>
              </a:r>
              <a:endParaRPr lang="en-US" sz="1100"/>
            </a:p>
          </xdr:txBody>
        </xdr:sp>
      </mc:Fallback>
    </mc:AlternateContent>
    <xdr:clientData/>
  </xdr:oneCellAnchor>
  <xdr:oneCellAnchor>
    <xdr:from>
      <xdr:col>3</xdr:col>
      <xdr:colOff>346076</xdr:colOff>
      <xdr:row>507</xdr:row>
      <xdr:rowOff>187325</xdr:rowOff>
    </xdr:from>
    <xdr:ext cx="3292593" cy="427489"/>
    <mc:AlternateContent xmlns:mc="http://schemas.openxmlformats.org/markup-compatibility/2006" xmlns:a14="http://schemas.microsoft.com/office/drawing/2010/main">
      <mc:Choice Requires="a14">
        <xdr:sp macro="" textlink="">
          <xdr:nvSpPr>
            <xdr:cNvPr id="118" name="TextBox 117">
              <a:extLst>
                <a:ext uri="{FF2B5EF4-FFF2-40B4-BE49-F238E27FC236}">
                  <a16:creationId xmlns:a16="http://schemas.microsoft.com/office/drawing/2014/main" id="{B46EE841-591F-EC48-80E8-06D8AAFCC201}"/>
                </a:ext>
              </a:extLst>
            </xdr:cNvPr>
            <xdr:cNvSpPr txBox="1"/>
          </xdr:nvSpPr>
          <xdr:spPr>
            <a:xfrm>
              <a:off x="13518876831" y="144395825"/>
              <a:ext cx="3292593" cy="427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sSub>
                      <m:sSubPr>
                        <m:ctrlPr>
                          <a:rPr lang="en-US" sz="1100" b="0" i="1">
                            <a:latin typeface="Cambria Math" panose="02040503050406030204" pitchFamily="18" charset="0"/>
                          </a:rPr>
                        </m:ctrlPr>
                      </m:sSubPr>
                      <m:e>
                        <m:r>
                          <a:rPr lang="en-US" sz="1100" b="0" i="1">
                            <a:latin typeface="Cambria Math" panose="02040503050406030204" pitchFamily="18" charset="0"/>
                          </a:rPr>
                          <m:t>𝐷</m:t>
                        </m:r>
                      </m:e>
                      <m:sub>
                        <m:r>
                          <a:rPr lang="en-US" sz="1100" b="0" i="1">
                            <a:latin typeface="Cambria Math" panose="02040503050406030204" pitchFamily="18" charset="0"/>
                          </a:rPr>
                          <m:t>2019</m:t>
                        </m:r>
                      </m:sub>
                    </m:sSub>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5,000,000−800,000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10∗</m:t>
                        </m:r>
                        <m:f>
                          <m:fPr>
                            <m:ctrlPr>
                              <a:rPr lang="en-US" sz="1100" b="0" i="1">
                                <a:latin typeface="Cambria Math" panose="02040503050406030204" pitchFamily="18" charset="0"/>
                              </a:rPr>
                            </m:ctrlPr>
                          </m:fPr>
                          <m:num>
                            <m:r>
                              <a:rPr lang="en-US" sz="1100" b="0" i="1">
                                <a:latin typeface="Cambria Math" panose="02040503050406030204" pitchFamily="18" charset="0"/>
                              </a:rPr>
                              <m:t>3</m:t>
                            </m:r>
                          </m:num>
                          <m:den>
                            <m:r>
                              <a:rPr lang="en-US" sz="1100" b="0" i="1">
                                <a:latin typeface="Cambria Math" panose="02040503050406030204" pitchFamily="18" charset="0"/>
                              </a:rPr>
                              <m:t>12</m:t>
                            </m:r>
                          </m:den>
                        </m:f>
                        <m:r>
                          <a:rPr lang="en-US" sz="1100" b="0" i="1">
                            <a:latin typeface="Cambria Math" panose="02040503050406030204" pitchFamily="18" charset="0"/>
                          </a:rPr>
                          <m:t>+9∗</m:t>
                        </m:r>
                        <m:f>
                          <m:fPr>
                            <m:ctrlPr>
                              <a:rPr lang="en-US" sz="1100" b="0" i="1">
                                <a:latin typeface="Cambria Math" panose="02040503050406030204" pitchFamily="18" charset="0"/>
                              </a:rPr>
                            </m:ctrlPr>
                          </m:fPr>
                          <m:num>
                            <m:r>
                              <a:rPr lang="en-US" sz="1100" b="0" i="1">
                                <a:latin typeface="Cambria Math" panose="02040503050406030204" pitchFamily="18" charset="0"/>
                              </a:rPr>
                              <m:t>9</m:t>
                            </m:r>
                          </m:num>
                          <m:den>
                            <m:r>
                              <a:rPr lang="en-US" sz="1100" b="0" i="1">
                                <a:latin typeface="Cambria Math" panose="02040503050406030204" pitchFamily="18" charset="0"/>
                              </a:rPr>
                              <m:t>12</m:t>
                            </m:r>
                          </m:den>
                        </m:f>
                      </m:num>
                      <m:den>
                        <m:r>
                          <a:rPr lang="en-US" sz="1100" b="0" i="1">
                            <a:latin typeface="Cambria Math" panose="02040503050406030204" pitchFamily="18" charset="0"/>
                          </a:rPr>
                          <m:t>55</m:t>
                        </m:r>
                      </m:den>
                    </m:f>
                    <m:r>
                      <a:rPr lang="en-US" sz="1100" b="0" i="1">
                        <a:latin typeface="Cambria Math" panose="02040503050406030204" pitchFamily="18" charset="0"/>
                      </a:rPr>
                      <m:t>=</m:t>
                    </m:r>
                  </m:oMath>
                </m:oMathPara>
              </a14:m>
              <a:endParaRPr lang="en-US" sz="1100"/>
            </a:p>
          </xdr:txBody>
        </xdr:sp>
      </mc:Choice>
      <mc:Fallback xmlns="">
        <xdr:sp macro="" textlink="">
          <xdr:nvSpPr>
            <xdr:cNvPr id="118" name="TextBox 117">
              <a:extLst>
                <a:ext uri="{FF2B5EF4-FFF2-40B4-BE49-F238E27FC236}">
                  <a16:creationId xmlns:a16="http://schemas.microsoft.com/office/drawing/2014/main" id="{B46EE841-591F-EC48-80E8-06D8AAFCC201}"/>
                </a:ext>
              </a:extLst>
            </xdr:cNvPr>
            <xdr:cNvSpPr txBox="1"/>
          </xdr:nvSpPr>
          <xdr:spPr>
            <a:xfrm>
              <a:off x="13518876831" y="144395825"/>
              <a:ext cx="3292593" cy="427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𝐷_2019=(5,000,000−800,000)∗(10∗3/12+9∗9/12)/55=</a:t>
              </a:r>
              <a:endParaRPr lang="en-US" sz="1100"/>
            </a:p>
          </xdr:txBody>
        </xdr:sp>
      </mc:Fallback>
    </mc:AlternateContent>
    <xdr:clientData/>
  </xdr:oneCellAnchor>
  <xdr:oneCellAnchor>
    <xdr:from>
      <xdr:col>3</xdr:col>
      <xdr:colOff>346076</xdr:colOff>
      <xdr:row>510</xdr:row>
      <xdr:rowOff>139700</xdr:rowOff>
    </xdr:from>
    <xdr:ext cx="3292593" cy="427489"/>
    <mc:AlternateContent xmlns:mc="http://schemas.openxmlformats.org/markup-compatibility/2006" xmlns:a14="http://schemas.microsoft.com/office/drawing/2010/main">
      <mc:Choice Requires="a14">
        <xdr:sp macro="" textlink="">
          <xdr:nvSpPr>
            <xdr:cNvPr id="119" name="TextBox 118">
              <a:extLst>
                <a:ext uri="{FF2B5EF4-FFF2-40B4-BE49-F238E27FC236}">
                  <a16:creationId xmlns:a16="http://schemas.microsoft.com/office/drawing/2014/main" id="{6AF718DB-3F2C-C047-B32A-D2446F86EBE0}"/>
                </a:ext>
              </a:extLst>
            </xdr:cNvPr>
            <xdr:cNvSpPr txBox="1"/>
          </xdr:nvSpPr>
          <xdr:spPr>
            <a:xfrm>
              <a:off x="13518876831" y="144957800"/>
              <a:ext cx="3292593" cy="427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sSub>
                      <m:sSubPr>
                        <m:ctrlPr>
                          <a:rPr lang="en-US" sz="1100" b="0" i="1">
                            <a:latin typeface="Cambria Math" panose="02040503050406030204" pitchFamily="18" charset="0"/>
                          </a:rPr>
                        </m:ctrlPr>
                      </m:sSubPr>
                      <m:e>
                        <m:r>
                          <a:rPr lang="en-US" sz="1100" b="0" i="1">
                            <a:latin typeface="Cambria Math" panose="02040503050406030204" pitchFamily="18" charset="0"/>
                          </a:rPr>
                          <m:t>𝐷</m:t>
                        </m:r>
                      </m:e>
                      <m:sub>
                        <m:r>
                          <a:rPr lang="en-US" sz="1100" b="0" i="1">
                            <a:latin typeface="Cambria Math" panose="02040503050406030204" pitchFamily="18" charset="0"/>
                          </a:rPr>
                          <m:t>2020</m:t>
                        </m:r>
                      </m:sub>
                    </m:sSub>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5,000,000−800,000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9∗</m:t>
                        </m:r>
                        <m:f>
                          <m:fPr>
                            <m:ctrlPr>
                              <a:rPr lang="en-US" sz="1100" b="0" i="1">
                                <a:latin typeface="Cambria Math" panose="02040503050406030204" pitchFamily="18" charset="0"/>
                              </a:rPr>
                            </m:ctrlPr>
                          </m:fPr>
                          <m:num>
                            <m:r>
                              <a:rPr lang="en-US" sz="1100" b="0" i="1">
                                <a:latin typeface="Cambria Math" panose="02040503050406030204" pitchFamily="18" charset="0"/>
                              </a:rPr>
                              <m:t>3</m:t>
                            </m:r>
                          </m:num>
                          <m:den>
                            <m:r>
                              <a:rPr lang="en-US" sz="1100" b="0" i="1">
                                <a:latin typeface="Cambria Math" panose="02040503050406030204" pitchFamily="18" charset="0"/>
                              </a:rPr>
                              <m:t>12</m:t>
                            </m:r>
                          </m:den>
                        </m:f>
                        <m:r>
                          <a:rPr lang="en-US" sz="1100" b="0" i="1">
                            <a:latin typeface="Cambria Math" panose="02040503050406030204" pitchFamily="18" charset="0"/>
                          </a:rPr>
                          <m:t>+8∗</m:t>
                        </m:r>
                        <m:f>
                          <m:fPr>
                            <m:ctrlPr>
                              <a:rPr lang="en-US" sz="1100" b="0" i="1">
                                <a:latin typeface="Cambria Math" panose="02040503050406030204" pitchFamily="18" charset="0"/>
                              </a:rPr>
                            </m:ctrlPr>
                          </m:fPr>
                          <m:num>
                            <m:r>
                              <a:rPr lang="en-US" sz="1100" b="0" i="1">
                                <a:latin typeface="Cambria Math" panose="02040503050406030204" pitchFamily="18" charset="0"/>
                              </a:rPr>
                              <m:t>9</m:t>
                            </m:r>
                          </m:num>
                          <m:den>
                            <m:r>
                              <a:rPr lang="en-US" sz="1100" b="0" i="1">
                                <a:latin typeface="Cambria Math" panose="02040503050406030204" pitchFamily="18" charset="0"/>
                              </a:rPr>
                              <m:t>12</m:t>
                            </m:r>
                          </m:den>
                        </m:f>
                      </m:num>
                      <m:den>
                        <m:r>
                          <a:rPr lang="en-US" sz="1100" b="0" i="1">
                            <a:latin typeface="Cambria Math" panose="02040503050406030204" pitchFamily="18" charset="0"/>
                          </a:rPr>
                          <m:t>55</m:t>
                        </m:r>
                      </m:den>
                    </m:f>
                    <m:r>
                      <a:rPr lang="en-US" sz="1100" b="0" i="1">
                        <a:latin typeface="Cambria Math" panose="02040503050406030204" pitchFamily="18" charset="0"/>
                      </a:rPr>
                      <m:t>=</m:t>
                    </m:r>
                  </m:oMath>
                </m:oMathPara>
              </a14:m>
              <a:endParaRPr lang="en-US" sz="1100"/>
            </a:p>
          </xdr:txBody>
        </xdr:sp>
      </mc:Choice>
      <mc:Fallback xmlns="">
        <xdr:sp macro="" textlink="">
          <xdr:nvSpPr>
            <xdr:cNvPr id="119" name="TextBox 118">
              <a:extLst>
                <a:ext uri="{FF2B5EF4-FFF2-40B4-BE49-F238E27FC236}">
                  <a16:creationId xmlns:a16="http://schemas.microsoft.com/office/drawing/2014/main" id="{6AF718DB-3F2C-C047-B32A-D2446F86EBE0}"/>
                </a:ext>
              </a:extLst>
            </xdr:cNvPr>
            <xdr:cNvSpPr txBox="1"/>
          </xdr:nvSpPr>
          <xdr:spPr>
            <a:xfrm>
              <a:off x="13518876831" y="144957800"/>
              <a:ext cx="3292593" cy="427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𝐷_2020=(5,000,000−800,000)∗(9∗3/12+8∗9/12)/55=</a:t>
              </a:r>
              <a:endParaRPr lang="en-US" sz="1100"/>
            </a:p>
          </xdr:txBody>
        </xdr:sp>
      </mc:Fallback>
    </mc:AlternateContent>
    <xdr:clientData/>
  </xdr:oneCellAnchor>
  <xdr:twoCellAnchor>
    <xdr:from>
      <xdr:col>3</xdr:col>
      <xdr:colOff>142871</xdr:colOff>
      <xdr:row>502</xdr:row>
      <xdr:rowOff>57149</xdr:rowOff>
    </xdr:from>
    <xdr:to>
      <xdr:col>4</xdr:col>
      <xdr:colOff>180971</xdr:colOff>
      <xdr:row>503</xdr:row>
      <xdr:rowOff>28574</xdr:rowOff>
    </xdr:to>
    <xdr:sp macro="" textlink="">
      <xdr:nvSpPr>
        <xdr:cNvPr id="120" name="Left Brace 119">
          <a:extLst>
            <a:ext uri="{FF2B5EF4-FFF2-40B4-BE49-F238E27FC236}">
              <a16:creationId xmlns:a16="http://schemas.microsoft.com/office/drawing/2014/main" id="{E3B8D6B6-6253-DD48-AA3A-C89227BC3CBA}"/>
            </a:ext>
          </a:extLst>
        </xdr:cNvPr>
        <xdr:cNvSpPr/>
      </xdr:nvSpPr>
      <xdr:spPr>
        <a:xfrm rot="16200000">
          <a:off x="13521853516" y="142905162"/>
          <a:ext cx="174625" cy="863600"/>
        </a:xfrm>
        <a:prstGeom prst="leftBrace">
          <a:avLst/>
        </a:prstGeom>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r" rtl="1"/>
          <a:endParaRPr lang="en-US" sz="1100"/>
        </a:p>
      </xdr:txBody>
    </xdr:sp>
    <xdr:clientData/>
  </xdr:twoCellAnchor>
  <xdr:oneCellAnchor>
    <xdr:from>
      <xdr:col>3</xdr:col>
      <xdr:colOff>454025</xdr:colOff>
      <xdr:row>503</xdr:row>
      <xdr:rowOff>47625</xdr:rowOff>
    </xdr:from>
    <xdr:ext cx="247768" cy="316882"/>
    <mc:AlternateContent xmlns:mc="http://schemas.openxmlformats.org/markup-compatibility/2006" xmlns:a14="http://schemas.microsoft.com/office/drawing/2010/main">
      <mc:Choice Requires="a14">
        <xdr:sp macro="" textlink="">
          <xdr:nvSpPr>
            <xdr:cNvPr id="121" name="TextBox 120">
              <a:extLst>
                <a:ext uri="{FF2B5EF4-FFF2-40B4-BE49-F238E27FC236}">
                  <a16:creationId xmlns:a16="http://schemas.microsoft.com/office/drawing/2014/main" id="{1F369A83-0DE1-A947-ACB4-F2938E61C080}"/>
                </a:ext>
              </a:extLst>
            </xdr:cNvPr>
            <xdr:cNvSpPr txBox="1"/>
          </xdr:nvSpPr>
          <xdr:spPr>
            <a:xfrm>
              <a:off x="13521813707" y="143443325"/>
              <a:ext cx="247768"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1100" b="0" i="1">
                            <a:latin typeface="Cambria Math" panose="02040503050406030204" pitchFamily="18" charset="0"/>
                          </a:rPr>
                        </m:ctrlPr>
                      </m:fPr>
                      <m:num>
                        <m:r>
                          <a:rPr lang="en-US" sz="1100" b="0" i="1">
                            <a:latin typeface="Cambria Math" panose="02040503050406030204" pitchFamily="18" charset="0"/>
                          </a:rPr>
                          <m:t>3</m:t>
                        </m:r>
                      </m:num>
                      <m:den>
                        <m:r>
                          <a:rPr lang="en-US" sz="1100" b="0" i="1">
                            <a:latin typeface="Cambria Math" panose="02040503050406030204" pitchFamily="18" charset="0"/>
                          </a:rPr>
                          <m:t>12</m:t>
                        </m:r>
                      </m:den>
                    </m:f>
                  </m:oMath>
                </m:oMathPara>
              </a14:m>
              <a:endParaRPr lang="en-US" sz="1100"/>
            </a:p>
          </xdr:txBody>
        </xdr:sp>
      </mc:Choice>
      <mc:Fallback xmlns="">
        <xdr:sp macro="" textlink="">
          <xdr:nvSpPr>
            <xdr:cNvPr id="121" name="TextBox 120">
              <a:extLst>
                <a:ext uri="{FF2B5EF4-FFF2-40B4-BE49-F238E27FC236}">
                  <a16:creationId xmlns:a16="http://schemas.microsoft.com/office/drawing/2014/main" id="{1F369A83-0DE1-A947-ACB4-F2938E61C080}"/>
                </a:ext>
              </a:extLst>
            </xdr:cNvPr>
            <xdr:cNvSpPr txBox="1"/>
          </xdr:nvSpPr>
          <xdr:spPr>
            <a:xfrm>
              <a:off x="13521813707" y="143443325"/>
              <a:ext cx="247768"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3/12</a:t>
              </a:r>
              <a:endParaRPr lang="en-US" sz="1100"/>
            </a:p>
          </xdr:txBody>
        </xdr:sp>
      </mc:Fallback>
    </mc:AlternateContent>
    <xdr:clientData/>
  </xdr:oneCellAnchor>
  <xdr:twoCellAnchor>
    <xdr:from>
      <xdr:col>2</xdr:col>
      <xdr:colOff>152397</xdr:colOff>
      <xdr:row>502</xdr:row>
      <xdr:rowOff>47624</xdr:rowOff>
    </xdr:from>
    <xdr:to>
      <xdr:col>3</xdr:col>
      <xdr:colOff>85719</xdr:colOff>
      <xdr:row>503</xdr:row>
      <xdr:rowOff>22224</xdr:rowOff>
    </xdr:to>
    <xdr:sp macro="" textlink="">
      <xdr:nvSpPr>
        <xdr:cNvPr id="122" name="Left Brace 121">
          <a:extLst>
            <a:ext uri="{FF2B5EF4-FFF2-40B4-BE49-F238E27FC236}">
              <a16:creationId xmlns:a16="http://schemas.microsoft.com/office/drawing/2014/main" id="{29ADB9E3-1EFE-9841-9E95-B60EFE0394C4}"/>
            </a:ext>
          </a:extLst>
        </xdr:cNvPr>
        <xdr:cNvSpPr/>
      </xdr:nvSpPr>
      <xdr:spPr>
        <a:xfrm rot="16200000">
          <a:off x="13522720292" y="142949613"/>
          <a:ext cx="177800" cy="758822"/>
        </a:xfrm>
        <a:prstGeom prst="leftBrace">
          <a:avLst/>
        </a:prstGeom>
      </xdr:spPr>
      <xdr:style>
        <a:lnRef idx="3">
          <a:schemeClr val="accent5"/>
        </a:lnRef>
        <a:fillRef idx="0">
          <a:schemeClr val="accent5"/>
        </a:fillRef>
        <a:effectRef idx="2">
          <a:schemeClr val="accent5"/>
        </a:effectRef>
        <a:fontRef idx="minor">
          <a:schemeClr val="tx1"/>
        </a:fontRef>
      </xdr:style>
      <xdr:txBody>
        <a:bodyPr vertOverflow="clip" horzOverflow="clip" rtlCol="0" anchor="t"/>
        <a:lstStyle/>
        <a:p>
          <a:pPr algn="r" rtl="1"/>
          <a:endParaRPr lang="en-US" sz="1100"/>
        </a:p>
      </xdr:txBody>
    </xdr:sp>
    <xdr:clientData/>
  </xdr:twoCellAnchor>
  <xdr:oneCellAnchor>
    <xdr:from>
      <xdr:col>2</xdr:col>
      <xdr:colOff>381000</xdr:colOff>
      <xdr:row>503</xdr:row>
      <xdr:rowOff>50800</xdr:rowOff>
    </xdr:from>
    <xdr:ext cx="247768" cy="316882"/>
    <mc:AlternateContent xmlns:mc="http://schemas.openxmlformats.org/markup-compatibility/2006" xmlns:a14="http://schemas.microsoft.com/office/drawing/2010/main">
      <mc:Choice Requires="a14">
        <xdr:sp macro="" textlink="">
          <xdr:nvSpPr>
            <xdr:cNvPr id="123" name="TextBox 122">
              <a:extLst>
                <a:ext uri="{FF2B5EF4-FFF2-40B4-BE49-F238E27FC236}">
                  <a16:creationId xmlns:a16="http://schemas.microsoft.com/office/drawing/2014/main" id="{AD8C15B6-F696-A24C-9D35-4B7A515C6408}"/>
                </a:ext>
              </a:extLst>
            </xdr:cNvPr>
            <xdr:cNvSpPr txBox="1"/>
          </xdr:nvSpPr>
          <xdr:spPr>
            <a:xfrm>
              <a:off x="13522712232" y="143446500"/>
              <a:ext cx="247768"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en-US" sz="1100" b="0" i="1">
                            <a:latin typeface="Cambria Math" panose="02040503050406030204" pitchFamily="18" charset="0"/>
                          </a:rPr>
                        </m:ctrlPr>
                      </m:fPr>
                      <m:num>
                        <m:r>
                          <a:rPr lang="en-US" sz="1100" b="0" i="1">
                            <a:latin typeface="Cambria Math" panose="02040503050406030204" pitchFamily="18" charset="0"/>
                          </a:rPr>
                          <m:t>9</m:t>
                        </m:r>
                      </m:num>
                      <m:den>
                        <m:r>
                          <a:rPr lang="en-US" sz="1100" b="0" i="1">
                            <a:latin typeface="Cambria Math" panose="02040503050406030204" pitchFamily="18" charset="0"/>
                          </a:rPr>
                          <m:t>12</m:t>
                        </m:r>
                      </m:den>
                    </m:f>
                  </m:oMath>
                </m:oMathPara>
              </a14:m>
              <a:endParaRPr lang="en-US" sz="1100"/>
            </a:p>
          </xdr:txBody>
        </xdr:sp>
      </mc:Choice>
      <mc:Fallback xmlns="">
        <xdr:sp macro="" textlink="">
          <xdr:nvSpPr>
            <xdr:cNvPr id="123" name="TextBox 122">
              <a:extLst>
                <a:ext uri="{FF2B5EF4-FFF2-40B4-BE49-F238E27FC236}">
                  <a16:creationId xmlns:a16="http://schemas.microsoft.com/office/drawing/2014/main" id="{AD8C15B6-F696-A24C-9D35-4B7A515C6408}"/>
                </a:ext>
              </a:extLst>
            </xdr:cNvPr>
            <xdr:cNvSpPr txBox="1"/>
          </xdr:nvSpPr>
          <xdr:spPr>
            <a:xfrm>
              <a:off x="13522712232" y="143446500"/>
              <a:ext cx="247768"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9/12</a:t>
              </a:r>
              <a:endParaRPr lang="en-US" sz="1100"/>
            </a:p>
          </xdr:txBody>
        </xdr:sp>
      </mc:Fallback>
    </mc:AlternateContent>
    <xdr:clientData/>
  </xdr:oneCellAnchor>
  <xdr:oneCellAnchor>
    <xdr:from>
      <xdr:col>7</xdr:col>
      <xdr:colOff>187325</xdr:colOff>
      <xdr:row>4</xdr:row>
      <xdr:rowOff>7898</xdr:rowOff>
    </xdr:from>
    <xdr:ext cx="622300" cy="685346"/>
    <xdr:pic>
      <xdr:nvPicPr>
        <xdr:cNvPr id="124" name="Picture 123">
          <a:extLst>
            <a:ext uri="{FF2B5EF4-FFF2-40B4-BE49-F238E27FC236}">
              <a16:creationId xmlns:a16="http://schemas.microsoft.com/office/drawing/2014/main" id="{E3093C68-D021-E946-AE77-2314088085B5}"/>
            </a:ext>
          </a:extLst>
        </xdr:cNvPr>
        <xdr:cNvPicPr>
          <a:picLocks noChangeAspect="1"/>
        </xdr:cNvPicPr>
      </xdr:nvPicPr>
      <xdr:blipFill>
        <a:blip xmlns:r="http://schemas.openxmlformats.org/officeDocument/2006/relationships" r:embed="rId13"/>
        <a:stretch>
          <a:fillRect/>
        </a:stretch>
      </xdr:blipFill>
      <xdr:spPr>
        <a:xfrm>
          <a:off x="13518403875" y="42819598"/>
          <a:ext cx="622300" cy="685346"/>
        </a:xfrm>
        <a:prstGeom prst="rect">
          <a:avLst/>
        </a:prstGeom>
      </xdr:spPr>
    </xdr:pic>
    <xdr:clientData/>
  </xdr:oneCellAnchor>
  <xdr:twoCellAnchor>
    <xdr:from>
      <xdr:col>6</xdr:col>
      <xdr:colOff>666750</xdr:colOff>
      <xdr:row>4</xdr:row>
      <xdr:rowOff>155575</xdr:rowOff>
    </xdr:from>
    <xdr:to>
      <xdr:col>7</xdr:col>
      <xdr:colOff>69850</xdr:colOff>
      <xdr:row>6</xdr:row>
      <xdr:rowOff>25400</xdr:rowOff>
    </xdr:to>
    <xdr:sp macro="" textlink="">
      <xdr:nvSpPr>
        <xdr:cNvPr id="125" name="Heart 124">
          <a:extLst>
            <a:ext uri="{FF2B5EF4-FFF2-40B4-BE49-F238E27FC236}">
              <a16:creationId xmlns:a16="http://schemas.microsoft.com/office/drawing/2014/main" id="{89BF0B18-A45D-EA40-A519-23444BEB8AB4}"/>
            </a:ext>
          </a:extLst>
        </xdr:cNvPr>
        <xdr:cNvSpPr/>
      </xdr:nvSpPr>
      <xdr:spPr>
        <a:xfrm>
          <a:off x="13519143650" y="42967275"/>
          <a:ext cx="228600" cy="276225"/>
        </a:xfrm>
        <a:prstGeom prst="hear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oneCellAnchor>
    <xdr:from>
      <xdr:col>5</xdr:col>
      <xdr:colOff>790575</xdr:colOff>
      <xdr:row>3</xdr:row>
      <xdr:rowOff>159385</xdr:rowOff>
    </xdr:from>
    <xdr:ext cx="605440" cy="430837"/>
    <xdr:pic>
      <xdr:nvPicPr>
        <xdr:cNvPr id="126" name="Picture 125">
          <a:extLst>
            <a:ext uri="{FF2B5EF4-FFF2-40B4-BE49-F238E27FC236}">
              <a16:creationId xmlns:a16="http://schemas.microsoft.com/office/drawing/2014/main" id="{D4A852DD-EEFB-2B40-8024-2C601B54C6DB}"/>
            </a:ext>
          </a:extLst>
        </xdr:cNvPr>
        <xdr:cNvPicPr>
          <a:picLocks noChangeAspect="1"/>
        </xdr:cNvPicPr>
      </xdr:nvPicPr>
      <xdr:blipFill>
        <a:blip xmlns:r="http://schemas.openxmlformats.org/officeDocument/2006/relationships" r:embed="rId14"/>
        <a:stretch>
          <a:fillRect/>
        </a:stretch>
      </xdr:blipFill>
      <xdr:spPr>
        <a:xfrm>
          <a:off x="13519468485" y="42767885"/>
          <a:ext cx="605440" cy="430837"/>
        </a:xfrm>
        <a:prstGeom prst="rect">
          <a:avLst/>
        </a:prstGeom>
      </xdr:spPr>
    </xdr:pic>
    <xdr:clientData/>
  </xdr:oneCellAnchor>
  <xdr:oneCellAnchor>
    <xdr:from>
      <xdr:col>3</xdr:col>
      <xdr:colOff>431800</xdr:colOff>
      <xdr:row>14</xdr:row>
      <xdr:rowOff>202897</xdr:rowOff>
    </xdr:from>
    <xdr:ext cx="1116615" cy="688621"/>
    <xdr:pic>
      <xdr:nvPicPr>
        <xdr:cNvPr id="127" name="Picture 126">
          <a:extLst>
            <a:ext uri="{FF2B5EF4-FFF2-40B4-BE49-F238E27FC236}">
              <a16:creationId xmlns:a16="http://schemas.microsoft.com/office/drawing/2014/main" id="{38DF0F1F-DD79-214B-AC7E-2149A3853D8C}"/>
            </a:ext>
          </a:extLst>
        </xdr:cNvPr>
        <xdr:cNvPicPr>
          <a:picLocks noChangeAspect="1"/>
        </xdr:cNvPicPr>
      </xdr:nvPicPr>
      <xdr:blipFill>
        <a:blip xmlns:r="http://schemas.openxmlformats.org/officeDocument/2006/relationships" r:embed="rId15"/>
        <a:stretch>
          <a:fillRect/>
        </a:stretch>
      </xdr:blipFill>
      <xdr:spPr>
        <a:xfrm>
          <a:off x="13520967085" y="45046597"/>
          <a:ext cx="1116615" cy="688621"/>
        </a:xfrm>
        <a:prstGeom prst="rect">
          <a:avLst/>
        </a:prstGeom>
      </xdr:spPr>
    </xdr:pic>
    <xdr:clientData/>
  </xdr:oneCellAnchor>
  <xdr:twoCellAnchor>
    <xdr:from>
      <xdr:col>2</xdr:col>
      <xdr:colOff>596900</xdr:colOff>
      <xdr:row>15</xdr:row>
      <xdr:rowOff>73025</xdr:rowOff>
    </xdr:from>
    <xdr:to>
      <xdr:col>3</xdr:col>
      <xdr:colOff>320675</xdr:colOff>
      <xdr:row>15</xdr:row>
      <xdr:rowOff>180975</xdr:rowOff>
    </xdr:to>
    <xdr:sp macro="" textlink="">
      <xdr:nvSpPr>
        <xdr:cNvPr id="128" name="Left Arrow 127">
          <a:extLst>
            <a:ext uri="{FF2B5EF4-FFF2-40B4-BE49-F238E27FC236}">
              <a16:creationId xmlns:a16="http://schemas.microsoft.com/office/drawing/2014/main" id="{5CB26598-64C5-8F4B-B72D-5A27C2EFE936}"/>
            </a:ext>
          </a:extLst>
        </xdr:cNvPr>
        <xdr:cNvSpPr/>
      </xdr:nvSpPr>
      <xdr:spPr>
        <a:xfrm>
          <a:off x="13522194825" y="45119925"/>
          <a:ext cx="549275" cy="10795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2</xdr:col>
      <xdr:colOff>136525</xdr:colOff>
      <xdr:row>27</xdr:row>
      <xdr:rowOff>22225</xdr:rowOff>
    </xdr:from>
    <xdr:to>
      <xdr:col>2</xdr:col>
      <xdr:colOff>355600</xdr:colOff>
      <xdr:row>30</xdr:row>
      <xdr:rowOff>50800</xdr:rowOff>
    </xdr:to>
    <xdr:sp macro="" textlink="">
      <xdr:nvSpPr>
        <xdr:cNvPr id="129" name="Down Arrow 128">
          <a:extLst>
            <a:ext uri="{FF2B5EF4-FFF2-40B4-BE49-F238E27FC236}">
              <a16:creationId xmlns:a16="http://schemas.microsoft.com/office/drawing/2014/main" id="{B7EC726A-4C38-D145-8702-AAD959015492}"/>
            </a:ext>
          </a:extLst>
        </xdr:cNvPr>
        <xdr:cNvSpPr/>
      </xdr:nvSpPr>
      <xdr:spPr>
        <a:xfrm>
          <a:off x="13522985400" y="47507525"/>
          <a:ext cx="219075" cy="6381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5</xdr:col>
      <xdr:colOff>190500</xdr:colOff>
      <xdr:row>27</xdr:row>
      <xdr:rowOff>25400</xdr:rowOff>
    </xdr:from>
    <xdr:to>
      <xdr:col>5</xdr:col>
      <xdr:colOff>409575</xdr:colOff>
      <xdr:row>30</xdr:row>
      <xdr:rowOff>53975</xdr:rowOff>
    </xdr:to>
    <xdr:sp macro="" textlink="">
      <xdr:nvSpPr>
        <xdr:cNvPr id="130" name="Down Arrow 129">
          <a:extLst>
            <a:ext uri="{FF2B5EF4-FFF2-40B4-BE49-F238E27FC236}">
              <a16:creationId xmlns:a16="http://schemas.microsoft.com/office/drawing/2014/main" id="{B4860929-29D7-754F-BB48-0E3E107F3AAC}"/>
            </a:ext>
          </a:extLst>
        </xdr:cNvPr>
        <xdr:cNvSpPr/>
      </xdr:nvSpPr>
      <xdr:spPr>
        <a:xfrm>
          <a:off x="13520454925" y="47510700"/>
          <a:ext cx="219075" cy="6381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oneCellAnchor>
    <xdr:from>
      <xdr:col>6</xdr:col>
      <xdr:colOff>95250</xdr:colOff>
      <xdr:row>27</xdr:row>
      <xdr:rowOff>9860</xdr:rowOff>
    </xdr:from>
    <xdr:ext cx="938815" cy="583536"/>
    <xdr:pic>
      <xdr:nvPicPr>
        <xdr:cNvPr id="131" name="Picture 130">
          <a:extLst>
            <a:ext uri="{FF2B5EF4-FFF2-40B4-BE49-F238E27FC236}">
              <a16:creationId xmlns:a16="http://schemas.microsoft.com/office/drawing/2014/main" id="{F201B7E5-0081-6C42-9860-76768E19D0FA}"/>
            </a:ext>
          </a:extLst>
        </xdr:cNvPr>
        <xdr:cNvPicPr>
          <a:picLocks noChangeAspect="1"/>
        </xdr:cNvPicPr>
      </xdr:nvPicPr>
      <xdr:blipFill>
        <a:blip xmlns:r="http://schemas.openxmlformats.org/officeDocument/2006/relationships" r:embed="rId16"/>
        <a:stretch>
          <a:fillRect/>
        </a:stretch>
      </xdr:blipFill>
      <xdr:spPr>
        <a:xfrm>
          <a:off x="13519004935" y="47495160"/>
          <a:ext cx="938815" cy="583536"/>
        </a:xfrm>
        <a:prstGeom prst="rect">
          <a:avLst/>
        </a:prstGeom>
      </xdr:spPr>
    </xdr:pic>
    <xdr:clientData/>
  </xdr:oneCellAnchor>
  <xdr:oneCellAnchor>
    <xdr:from>
      <xdr:col>7</xdr:col>
      <xdr:colOff>712271</xdr:colOff>
      <xdr:row>380</xdr:row>
      <xdr:rowOff>203038</xdr:rowOff>
    </xdr:from>
    <xdr:ext cx="1750136" cy="1692938"/>
    <xdr:pic>
      <xdr:nvPicPr>
        <xdr:cNvPr id="137" name="Picture 136">
          <a:extLst>
            <a:ext uri="{FF2B5EF4-FFF2-40B4-BE49-F238E27FC236}">
              <a16:creationId xmlns:a16="http://schemas.microsoft.com/office/drawing/2014/main" id="{CA89B30C-04D9-7C47-889F-1338DA863DF4}"/>
            </a:ext>
          </a:extLst>
        </xdr:cNvPr>
        <xdr:cNvPicPr>
          <a:picLocks noChangeAspect="1"/>
        </xdr:cNvPicPr>
      </xdr:nvPicPr>
      <xdr:blipFill>
        <a:blip xmlns:r="http://schemas.openxmlformats.org/officeDocument/2006/relationships" r:embed="rId17"/>
        <a:stretch>
          <a:fillRect/>
        </a:stretch>
      </xdr:blipFill>
      <xdr:spPr>
        <a:xfrm>
          <a:off x="13516751093" y="119011538"/>
          <a:ext cx="1750136" cy="1692938"/>
        </a:xfrm>
        <a:prstGeom prst="rect">
          <a:avLst/>
        </a:prstGeom>
      </xdr:spPr>
    </xdr:pic>
    <xdr:clientData/>
  </xdr:oneCellAnchor>
  <xdr:oneCellAnchor>
    <xdr:from>
      <xdr:col>8</xdr:col>
      <xdr:colOff>58105</xdr:colOff>
      <xdr:row>456</xdr:row>
      <xdr:rowOff>95250</xdr:rowOff>
    </xdr:from>
    <xdr:ext cx="798160" cy="671020"/>
    <xdr:pic>
      <xdr:nvPicPr>
        <xdr:cNvPr id="138" name="Picture 137">
          <a:extLst>
            <a:ext uri="{FF2B5EF4-FFF2-40B4-BE49-F238E27FC236}">
              <a16:creationId xmlns:a16="http://schemas.microsoft.com/office/drawing/2014/main" id="{B629C847-6246-B047-8946-499BF6262DE6}"/>
            </a:ext>
          </a:extLst>
        </xdr:cNvPr>
        <xdr:cNvPicPr>
          <a:picLocks noChangeAspect="1"/>
        </xdr:cNvPicPr>
      </xdr:nvPicPr>
      <xdr:blipFill>
        <a:blip xmlns:r="http://schemas.openxmlformats.org/officeDocument/2006/relationships" r:embed="rId18"/>
        <a:stretch>
          <a:fillRect/>
        </a:stretch>
      </xdr:blipFill>
      <xdr:spPr>
        <a:xfrm>
          <a:off x="13517531735" y="134346950"/>
          <a:ext cx="798160" cy="671020"/>
        </a:xfrm>
        <a:prstGeom prst="rect">
          <a:avLst/>
        </a:prstGeom>
      </xdr:spPr>
    </xdr:pic>
    <xdr:clientData/>
  </xdr:oneCellAnchor>
  <xdr:oneCellAnchor>
    <xdr:from>
      <xdr:col>0</xdr:col>
      <xdr:colOff>60477</xdr:colOff>
      <xdr:row>548</xdr:row>
      <xdr:rowOff>54110</xdr:rowOff>
    </xdr:from>
    <xdr:ext cx="1254205" cy="884994"/>
    <xdr:pic>
      <xdr:nvPicPr>
        <xdr:cNvPr id="140" name="Picture 139">
          <a:extLst>
            <a:ext uri="{FF2B5EF4-FFF2-40B4-BE49-F238E27FC236}">
              <a16:creationId xmlns:a16="http://schemas.microsoft.com/office/drawing/2014/main" id="{BAE5033A-224C-D744-8D00-209363800637}"/>
            </a:ext>
          </a:extLst>
        </xdr:cNvPr>
        <xdr:cNvPicPr>
          <a:picLocks noChangeAspect="1"/>
        </xdr:cNvPicPr>
      </xdr:nvPicPr>
      <xdr:blipFill>
        <a:blip xmlns:r="http://schemas.openxmlformats.org/officeDocument/2006/relationships" r:embed="rId19"/>
        <a:stretch>
          <a:fillRect/>
        </a:stretch>
      </xdr:blipFill>
      <xdr:spPr>
        <a:xfrm>
          <a:off x="13523677318" y="145888210"/>
          <a:ext cx="1254205" cy="884994"/>
        </a:xfrm>
        <a:prstGeom prst="rect">
          <a:avLst/>
        </a:prstGeom>
      </xdr:spPr>
    </xdr:pic>
    <xdr:clientData/>
  </xdr:oneCellAnchor>
  <xdr:twoCellAnchor>
    <xdr:from>
      <xdr:col>4</xdr:col>
      <xdr:colOff>627350</xdr:colOff>
      <xdr:row>563</xdr:row>
      <xdr:rowOff>0</xdr:rowOff>
    </xdr:from>
    <xdr:to>
      <xdr:col>5</xdr:col>
      <xdr:colOff>126235</xdr:colOff>
      <xdr:row>564</xdr:row>
      <xdr:rowOff>76506</xdr:rowOff>
    </xdr:to>
    <xdr:sp macro="" textlink="">
      <xdr:nvSpPr>
        <xdr:cNvPr id="141" name="Left Arrow 140">
          <a:extLst>
            <a:ext uri="{FF2B5EF4-FFF2-40B4-BE49-F238E27FC236}">
              <a16:creationId xmlns:a16="http://schemas.microsoft.com/office/drawing/2014/main" id="{677ECF35-A5CB-FB43-9DE5-F090B8FA84F6}"/>
            </a:ext>
          </a:extLst>
        </xdr:cNvPr>
        <xdr:cNvSpPr/>
      </xdr:nvSpPr>
      <xdr:spPr>
        <a:xfrm>
          <a:off x="13520738265" y="148882100"/>
          <a:ext cx="324385" cy="279706"/>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oneCellAnchor>
    <xdr:from>
      <xdr:col>4</xdr:col>
      <xdr:colOff>183615</xdr:colOff>
      <xdr:row>567</xdr:row>
      <xdr:rowOff>26701</xdr:rowOff>
    </xdr:from>
    <xdr:ext cx="3340678" cy="426463"/>
    <mc:AlternateContent xmlns:mc="http://schemas.openxmlformats.org/markup-compatibility/2006" xmlns:a14="http://schemas.microsoft.com/office/drawing/2010/main">
      <mc:Choice Requires="a14">
        <xdr:sp macro="" textlink="">
          <xdr:nvSpPr>
            <xdr:cNvPr id="142" name="TextBox 141">
              <a:extLst>
                <a:ext uri="{FF2B5EF4-FFF2-40B4-BE49-F238E27FC236}">
                  <a16:creationId xmlns:a16="http://schemas.microsoft.com/office/drawing/2014/main" id="{62EDAEAE-6B51-064F-82E5-9995D044B364}"/>
                </a:ext>
              </a:extLst>
            </xdr:cNvPr>
            <xdr:cNvSpPr txBox="1"/>
          </xdr:nvSpPr>
          <xdr:spPr>
            <a:xfrm>
              <a:off x="13518165707" y="149721601"/>
              <a:ext cx="3340678" cy="4264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en-US" sz="1100" b="0" i="1">
                            <a:latin typeface="Cambria Math" panose="02040503050406030204" pitchFamily="18" charset="0"/>
                          </a:rPr>
                        </m:ctrlPr>
                      </m:dPr>
                      <m:e>
                        <m:r>
                          <a:rPr lang="en-US" sz="1100" b="0" i="1">
                            <a:latin typeface="Cambria Math" panose="02040503050406030204" pitchFamily="18" charset="0"/>
                          </a:rPr>
                          <m:t>2020</m:t>
                        </m:r>
                      </m:e>
                    </m:d>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700,000−100,000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7∗</m:t>
                        </m:r>
                        <m:f>
                          <m:fPr>
                            <m:ctrlPr>
                              <a:rPr lang="en-US" sz="1100" b="0" i="1">
                                <a:latin typeface="Cambria Math" panose="02040503050406030204" pitchFamily="18" charset="0"/>
                              </a:rPr>
                            </m:ctrlPr>
                          </m:fPr>
                          <m:num>
                            <m:r>
                              <a:rPr lang="en-US" sz="1100" b="0" i="1">
                                <a:latin typeface="Cambria Math" panose="02040503050406030204" pitchFamily="18" charset="0"/>
                              </a:rPr>
                              <m:t>7</m:t>
                            </m:r>
                          </m:num>
                          <m:den>
                            <m:r>
                              <a:rPr lang="en-US" sz="1100" b="0" i="1">
                                <a:latin typeface="Cambria Math" panose="02040503050406030204" pitchFamily="18" charset="0"/>
                              </a:rPr>
                              <m:t>12</m:t>
                            </m:r>
                          </m:den>
                        </m:f>
                      </m:num>
                      <m:den>
                        <m:r>
                          <a:rPr lang="en-US" sz="1100" b="0" i="1">
                            <a:latin typeface="Cambria Math" panose="02040503050406030204" pitchFamily="18" charset="0"/>
                          </a:rPr>
                          <m:t>28</m:t>
                        </m:r>
                      </m:den>
                    </m:f>
                    <m:r>
                      <a:rPr lang="en-US" sz="1100" b="0" i="0">
                        <a:latin typeface="Cambria Math" panose="02040503050406030204" pitchFamily="18" charset="0"/>
                      </a:rPr>
                      <m:t>=</m:t>
                    </m:r>
                  </m:oMath>
                </m:oMathPara>
              </a14:m>
              <a:endParaRPr lang="en-US" sz="1100"/>
            </a:p>
          </xdr:txBody>
        </xdr:sp>
      </mc:Choice>
      <mc:Fallback xmlns="">
        <xdr:sp macro="" textlink="">
          <xdr:nvSpPr>
            <xdr:cNvPr id="142" name="TextBox 141">
              <a:extLst>
                <a:ext uri="{FF2B5EF4-FFF2-40B4-BE49-F238E27FC236}">
                  <a16:creationId xmlns:a16="http://schemas.microsoft.com/office/drawing/2014/main" id="{62EDAEAE-6B51-064F-82E5-9995D044B364}"/>
                </a:ext>
              </a:extLst>
            </xdr:cNvPr>
            <xdr:cNvSpPr txBox="1"/>
          </xdr:nvSpPr>
          <xdr:spPr>
            <a:xfrm>
              <a:off x="13518165707" y="149721601"/>
              <a:ext cx="3340678" cy="4264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𝐷(2020)=(700,000−100,000)∗(7∗7/12)/28=</a:t>
              </a:r>
              <a:endParaRPr lang="en-US" sz="1100"/>
            </a:p>
          </xdr:txBody>
        </xdr:sp>
      </mc:Fallback>
    </mc:AlternateContent>
    <xdr:clientData/>
  </xdr:oneCellAnchor>
  <xdr:oneCellAnchor>
    <xdr:from>
      <xdr:col>3</xdr:col>
      <xdr:colOff>768885</xdr:colOff>
      <xdr:row>569</xdr:row>
      <xdr:rowOff>191189</xdr:rowOff>
    </xdr:from>
    <xdr:ext cx="3340678" cy="431015"/>
    <mc:AlternateContent xmlns:mc="http://schemas.openxmlformats.org/markup-compatibility/2006" xmlns:a14="http://schemas.microsoft.com/office/drawing/2010/main">
      <mc:Choice Requires="a14">
        <xdr:sp macro="" textlink="">
          <xdr:nvSpPr>
            <xdr:cNvPr id="143" name="TextBox 142">
              <a:extLst>
                <a:ext uri="{FF2B5EF4-FFF2-40B4-BE49-F238E27FC236}">
                  <a16:creationId xmlns:a16="http://schemas.microsoft.com/office/drawing/2014/main" id="{21DE2260-0D94-4D47-938F-CA5010E1A382}"/>
                </a:ext>
              </a:extLst>
            </xdr:cNvPr>
            <xdr:cNvSpPr txBox="1"/>
          </xdr:nvSpPr>
          <xdr:spPr>
            <a:xfrm>
              <a:off x="13518405937" y="150292489"/>
              <a:ext cx="3340678" cy="4310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en-US" sz="1100" b="0" i="1">
                            <a:latin typeface="Cambria Math" panose="02040503050406030204" pitchFamily="18" charset="0"/>
                          </a:rPr>
                        </m:ctrlPr>
                      </m:dPr>
                      <m:e>
                        <m:r>
                          <a:rPr lang="en-US" sz="1100" b="0" i="1">
                            <a:latin typeface="Cambria Math" panose="02040503050406030204" pitchFamily="18" charset="0"/>
                          </a:rPr>
                          <m:t>2021</m:t>
                        </m:r>
                      </m:e>
                    </m:d>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700,000−100,000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7∗</m:t>
                        </m:r>
                        <m:f>
                          <m:fPr>
                            <m:ctrlPr>
                              <a:rPr lang="en-US" sz="1100" b="0" i="1">
                                <a:latin typeface="Cambria Math" panose="02040503050406030204" pitchFamily="18" charset="0"/>
                              </a:rPr>
                            </m:ctrlPr>
                          </m:fPr>
                          <m:num>
                            <m:r>
                              <a:rPr lang="en-US" sz="1100" b="0" i="1">
                                <a:latin typeface="Cambria Math" panose="02040503050406030204" pitchFamily="18" charset="0"/>
                              </a:rPr>
                              <m:t>5</m:t>
                            </m:r>
                          </m:num>
                          <m:den>
                            <m:r>
                              <a:rPr lang="en-US" sz="1100" b="0" i="1">
                                <a:latin typeface="Cambria Math" panose="02040503050406030204" pitchFamily="18" charset="0"/>
                              </a:rPr>
                              <m:t>12</m:t>
                            </m:r>
                          </m:den>
                        </m:f>
                        <m:r>
                          <a:rPr lang="en-US" sz="1100" b="0" i="1">
                            <a:latin typeface="Cambria Math" panose="02040503050406030204" pitchFamily="18" charset="0"/>
                          </a:rPr>
                          <m:t>+6∗</m:t>
                        </m:r>
                        <m:f>
                          <m:fPr>
                            <m:ctrlPr>
                              <a:rPr lang="en-US" sz="1100" b="0" i="1">
                                <a:latin typeface="Cambria Math" panose="02040503050406030204" pitchFamily="18" charset="0"/>
                              </a:rPr>
                            </m:ctrlPr>
                          </m:fPr>
                          <m:num>
                            <m:r>
                              <a:rPr lang="en-US" sz="1100" b="0" i="1">
                                <a:latin typeface="Cambria Math" panose="02040503050406030204" pitchFamily="18" charset="0"/>
                              </a:rPr>
                              <m:t>7</m:t>
                            </m:r>
                          </m:num>
                          <m:den>
                            <m:r>
                              <a:rPr lang="en-US" sz="1100" b="0" i="1">
                                <a:latin typeface="Cambria Math" panose="02040503050406030204" pitchFamily="18" charset="0"/>
                              </a:rPr>
                              <m:t>12</m:t>
                            </m:r>
                          </m:den>
                        </m:f>
                      </m:num>
                      <m:den>
                        <m:r>
                          <a:rPr lang="en-US" sz="1100" b="0" i="1">
                            <a:latin typeface="Cambria Math" panose="02040503050406030204" pitchFamily="18" charset="0"/>
                          </a:rPr>
                          <m:t>28</m:t>
                        </m:r>
                      </m:den>
                    </m:f>
                    <m:r>
                      <a:rPr lang="en-US" sz="1100" b="0" i="0">
                        <a:latin typeface="Cambria Math" panose="02040503050406030204" pitchFamily="18" charset="0"/>
                      </a:rPr>
                      <m:t>=</m:t>
                    </m:r>
                  </m:oMath>
                </m:oMathPara>
              </a14:m>
              <a:endParaRPr lang="en-US" sz="1100"/>
            </a:p>
          </xdr:txBody>
        </xdr:sp>
      </mc:Choice>
      <mc:Fallback xmlns="">
        <xdr:sp macro="" textlink="">
          <xdr:nvSpPr>
            <xdr:cNvPr id="143" name="TextBox 142">
              <a:extLst>
                <a:ext uri="{FF2B5EF4-FFF2-40B4-BE49-F238E27FC236}">
                  <a16:creationId xmlns:a16="http://schemas.microsoft.com/office/drawing/2014/main" id="{21DE2260-0D94-4D47-938F-CA5010E1A382}"/>
                </a:ext>
              </a:extLst>
            </xdr:cNvPr>
            <xdr:cNvSpPr txBox="1"/>
          </xdr:nvSpPr>
          <xdr:spPr>
            <a:xfrm>
              <a:off x="13518405937" y="150292489"/>
              <a:ext cx="3340678" cy="4310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𝐷(2021)=(700,000−100,000)∗(7∗5/12+6∗7/12)/28=</a:t>
              </a:r>
              <a:endParaRPr lang="en-US" sz="1100"/>
            </a:p>
          </xdr:txBody>
        </xdr:sp>
      </mc:Fallback>
    </mc:AlternateContent>
    <xdr:clientData/>
  </xdr:oneCellAnchor>
  <xdr:oneCellAnchor>
    <xdr:from>
      <xdr:col>3</xdr:col>
      <xdr:colOff>745933</xdr:colOff>
      <xdr:row>572</xdr:row>
      <xdr:rowOff>133810</xdr:rowOff>
    </xdr:from>
    <xdr:ext cx="3340678" cy="431015"/>
    <mc:AlternateContent xmlns:mc="http://schemas.openxmlformats.org/markup-compatibility/2006" xmlns:a14="http://schemas.microsoft.com/office/drawing/2010/main">
      <mc:Choice Requires="a14">
        <xdr:sp macro="" textlink="">
          <xdr:nvSpPr>
            <xdr:cNvPr id="144" name="TextBox 143">
              <a:extLst>
                <a:ext uri="{FF2B5EF4-FFF2-40B4-BE49-F238E27FC236}">
                  <a16:creationId xmlns:a16="http://schemas.microsoft.com/office/drawing/2014/main" id="{46307F54-0CB4-B040-8A65-68F1A7AA26DC}"/>
                </a:ext>
              </a:extLst>
            </xdr:cNvPr>
            <xdr:cNvSpPr txBox="1"/>
          </xdr:nvSpPr>
          <xdr:spPr>
            <a:xfrm>
              <a:off x="13518428889" y="150844710"/>
              <a:ext cx="3340678" cy="4310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en-US" sz="1100" b="0" i="1">
                            <a:latin typeface="Cambria Math" panose="02040503050406030204" pitchFamily="18" charset="0"/>
                          </a:rPr>
                        </m:ctrlPr>
                      </m:dPr>
                      <m:e>
                        <m:r>
                          <a:rPr lang="en-US" sz="1100" b="0" i="1">
                            <a:latin typeface="Cambria Math" panose="02040503050406030204" pitchFamily="18" charset="0"/>
                          </a:rPr>
                          <m:t>2022</m:t>
                        </m:r>
                      </m:e>
                    </m:d>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700,000−100,000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6∗</m:t>
                        </m:r>
                        <m:f>
                          <m:fPr>
                            <m:ctrlPr>
                              <a:rPr lang="en-US" sz="1100" b="0" i="1">
                                <a:latin typeface="Cambria Math" panose="02040503050406030204" pitchFamily="18" charset="0"/>
                              </a:rPr>
                            </m:ctrlPr>
                          </m:fPr>
                          <m:num>
                            <m:r>
                              <a:rPr lang="en-US" sz="1100" b="0" i="1">
                                <a:latin typeface="Cambria Math" panose="02040503050406030204" pitchFamily="18" charset="0"/>
                              </a:rPr>
                              <m:t>5</m:t>
                            </m:r>
                          </m:num>
                          <m:den>
                            <m:r>
                              <a:rPr lang="en-US" sz="1100" b="0" i="1">
                                <a:latin typeface="Cambria Math" panose="02040503050406030204" pitchFamily="18" charset="0"/>
                              </a:rPr>
                              <m:t>12</m:t>
                            </m:r>
                          </m:den>
                        </m:f>
                        <m:r>
                          <a:rPr lang="en-US" sz="1100" b="0" i="1">
                            <a:latin typeface="Cambria Math" panose="02040503050406030204" pitchFamily="18" charset="0"/>
                          </a:rPr>
                          <m:t>+5∗</m:t>
                        </m:r>
                        <m:f>
                          <m:fPr>
                            <m:ctrlPr>
                              <a:rPr lang="en-US" sz="1100" b="0" i="1">
                                <a:latin typeface="Cambria Math" panose="02040503050406030204" pitchFamily="18" charset="0"/>
                              </a:rPr>
                            </m:ctrlPr>
                          </m:fPr>
                          <m:num>
                            <m:r>
                              <a:rPr lang="en-US" sz="1100" b="0" i="1">
                                <a:latin typeface="Cambria Math" panose="02040503050406030204" pitchFamily="18" charset="0"/>
                              </a:rPr>
                              <m:t>7</m:t>
                            </m:r>
                          </m:num>
                          <m:den>
                            <m:r>
                              <a:rPr lang="en-US" sz="1100" b="0" i="1">
                                <a:latin typeface="Cambria Math" panose="02040503050406030204" pitchFamily="18" charset="0"/>
                              </a:rPr>
                              <m:t>12</m:t>
                            </m:r>
                          </m:den>
                        </m:f>
                      </m:num>
                      <m:den>
                        <m:r>
                          <a:rPr lang="en-US" sz="1100" b="0" i="1">
                            <a:latin typeface="Cambria Math" panose="02040503050406030204" pitchFamily="18" charset="0"/>
                          </a:rPr>
                          <m:t>28</m:t>
                        </m:r>
                      </m:den>
                    </m:f>
                    <m:r>
                      <a:rPr lang="en-US" sz="1100" b="0" i="0">
                        <a:latin typeface="Cambria Math" panose="02040503050406030204" pitchFamily="18" charset="0"/>
                      </a:rPr>
                      <m:t>=</m:t>
                    </m:r>
                  </m:oMath>
                </m:oMathPara>
              </a14:m>
              <a:endParaRPr lang="en-US" sz="1100"/>
            </a:p>
          </xdr:txBody>
        </xdr:sp>
      </mc:Choice>
      <mc:Fallback xmlns="">
        <xdr:sp macro="" textlink="">
          <xdr:nvSpPr>
            <xdr:cNvPr id="144" name="TextBox 143">
              <a:extLst>
                <a:ext uri="{FF2B5EF4-FFF2-40B4-BE49-F238E27FC236}">
                  <a16:creationId xmlns:a16="http://schemas.microsoft.com/office/drawing/2014/main" id="{46307F54-0CB4-B040-8A65-68F1A7AA26DC}"/>
                </a:ext>
              </a:extLst>
            </xdr:cNvPr>
            <xdr:cNvSpPr txBox="1"/>
          </xdr:nvSpPr>
          <xdr:spPr>
            <a:xfrm>
              <a:off x="13518428889" y="150844710"/>
              <a:ext cx="3340678" cy="4310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𝐷(2022)=(700,000−100,000)∗(6∗5/12+5∗7/12)/28=</a:t>
              </a:r>
              <a:endParaRPr lang="en-US" sz="1100"/>
            </a:p>
          </xdr:txBody>
        </xdr:sp>
      </mc:Fallback>
    </mc:AlternateContent>
    <xdr:clientData/>
  </xdr:oneCellAnchor>
  <xdr:oneCellAnchor>
    <xdr:from>
      <xdr:col>3</xdr:col>
      <xdr:colOff>757409</xdr:colOff>
      <xdr:row>575</xdr:row>
      <xdr:rowOff>91732</xdr:rowOff>
    </xdr:from>
    <xdr:ext cx="3340678" cy="431015"/>
    <mc:AlternateContent xmlns:mc="http://schemas.openxmlformats.org/markup-compatibility/2006" xmlns:a14="http://schemas.microsoft.com/office/drawing/2010/main">
      <mc:Choice Requires="a14">
        <xdr:sp macro="" textlink="">
          <xdr:nvSpPr>
            <xdr:cNvPr id="145" name="TextBox 144">
              <a:extLst>
                <a:ext uri="{FF2B5EF4-FFF2-40B4-BE49-F238E27FC236}">
                  <a16:creationId xmlns:a16="http://schemas.microsoft.com/office/drawing/2014/main" id="{A1716841-19BB-2949-B0AA-A574E2684C17}"/>
                </a:ext>
              </a:extLst>
            </xdr:cNvPr>
            <xdr:cNvSpPr txBox="1"/>
          </xdr:nvSpPr>
          <xdr:spPr>
            <a:xfrm>
              <a:off x="13518417413" y="151412232"/>
              <a:ext cx="3340678" cy="4310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d>
                      <m:dPr>
                        <m:ctrlPr>
                          <a:rPr lang="en-US" sz="1100" b="0" i="1">
                            <a:latin typeface="Cambria Math" panose="02040503050406030204" pitchFamily="18" charset="0"/>
                          </a:rPr>
                        </m:ctrlPr>
                      </m:dPr>
                      <m:e>
                        <m:r>
                          <a:rPr lang="en-US" sz="1100" b="0" i="1">
                            <a:latin typeface="Cambria Math" panose="02040503050406030204" pitchFamily="18" charset="0"/>
                          </a:rPr>
                          <m:t>2023</m:t>
                        </m:r>
                      </m:e>
                    </m:d>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700,000−100,000</m:t>
                        </m:r>
                      </m:e>
                    </m:d>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5∗</m:t>
                        </m:r>
                        <m:f>
                          <m:fPr>
                            <m:ctrlPr>
                              <a:rPr lang="en-US" sz="1100" b="0" i="1">
                                <a:latin typeface="Cambria Math" panose="02040503050406030204" pitchFamily="18" charset="0"/>
                              </a:rPr>
                            </m:ctrlPr>
                          </m:fPr>
                          <m:num>
                            <m:r>
                              <a:rPr lang="en-US" sz="1100" b="0" i="1">
                                <a:latin typeface="Cambria Math" panose="02040503050406030204" pitchFamily="18" charset="0"/>
                              </a:rPr>
                              <m:t>5</m:t>
                            </m:r>
                          </m:num>
                          <m:den>
                            <m:r>
                              <a:rPr lang="en-US" sz="1100" b="0" i="1">
                                <a:latin typeface="Cambria Math" panose="02040503050406030204" pitchFamily="18" charset="0"/>
                              </a:rPr>
                              <m:t>12</m:t>
                            </m:r>
                          </m:den>
                        </m:f>
                        <m:r>
                          <a:rPr lang="en-US" sz="1100" b="0" i="1">
                            <a:latin typeface="Cambria Math" panose="02040503050406030204" pitchFamily="18" charset="0"/>
                          </a:rPr>
                          <m:t>+4∗</m:t>
                        </m:r>
                        <m:f>
                          <m:fPr>
                            <m:ctrlPr>
                              <a:rPr lang="en-US" sz="1100" b="0" i="1">
                                <a:latin typeface="Cambria Math" panose="02040503050406030204" pitchFamily="18" charset="0"/>
                              </a:rPr>
                            </m:ctrlPr>
                          </m:fPr>
                          <m:num>
                            <m:r>
                              <a:rPr lang="en-US" sz="1100" b="0" i="1">
                                <a:latin typeface="Cambria Math" panose="02040503050406030204" pitchFamily="18" charset="0"/>
                              </a:rPr>
                              <m:t>7</m:t>
                            </m:r>
                          </m:num>
                          <m:den>
                            <m:r>
                              <a:rPr lang="en-US" sz="1100" b="0" i="1">
                                <a:latin typeface="Cambria Math" panose="02040503050406030204" pitchFamily="18" charset="0"/>
                              </a:rPr>
                              <m:t>12</m:t>
                            </m:r>
                          </m:den>
                        </m:f>
                      </m:num>
                      <m:den>
                        <m:r>
                          <a:rPr lang="en-US" sz="1100" b="0" i="1">
                            <a:latin typeface="Cambria Math" panose="02040503050406030204" pitchFamily="18" charset="0"/>
                          </a:rPr>
                          <m:t>28</m:t>
                        </m:r>
                      </m:den>
                    </m:f>
                    <m:r>
                      <a:rPr lang="en-US" sz="1100" b="0" i="0">
                        <a:latin typeface="Cambria Math" panose="02040503050406030204" pitchFamily="18" charset="0"/>
                      </a:rPr>
                      <m:t>=</m:t>
                    </m:r>
                  </m:oMath>
                </m:oMathPara>
              </a14:m>
              <a:endParaRPr lang="en-US" sz="1100"/>
            </a:p>
          </xdr:txBody>
        </xdr:sp>
      </mc:Choice>
      <mc:Fallback xmlns="">
        <xdr:sp macro="" textlink="">
          <xdr:nvSpPr>
            <xdr:cNvPr id="145" name="TextBox 144">
              <a:extLst>
                <a:ext uri="{FF2B5EF4-FFF2-40B4-BE49-F238E27FC236}">
                  <a16:creationId xmlns:a16="http://schemas.microsoft.com/office/drawing/2014/main" id="{A1716841-19BB-2949-B0AA-A574E2684C17}"/>
                </a:ext>
              </a:extLst>
            </xdr:cNvPr>
            <xdr:cNvSpPr txBox="1"/>
          </xdr:nvSpPr>
          <xdr:spPr>
            <a:xfrm>
              <a:off x="13518417413" y="151412232"/>
              <a:ext cx="3340678" cy="4310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𝐷(2023)=(700,000−100,000)∗(5∗5/12+4∗7/12)/28=</a:t>
              </a:r>
              <a:endParaRPr lang="en-US" sz="1100"/>
            </a:p>
          </xdr:txBody>
        </xdr:sp>
      </mc:Fallback>
    </mc:AlternateContent>
    <xdr:clientData/>
  </xdr:oneCellAnchor>
  <xdr:twoCellAnchor>
    <xdr:from>
      <xdr:col>2</xdr:col>
      <xdr:colOff>764769</xdr:colOff>
      <xdr:row>30</xdr:row>
      <xdr:rowOff>41525</xdr:rowOff>
    </xdr:from>
    <xdr:to>
      <xdr:col>3</xdr:col>
      <xdr:colOff>200708</xdr:colOff>
      <xdr:row>35</xdr:row>
      <xdr:rowOff>27684</xdr:rowOff>
    </xdr:to>
    <xdr:sp macro="" textlink="">
      <xdr:nvSpPr>
        <xdr:cNvPr id="146" name="Left Brace 145">
          <a:extLst>
            <a:ext uri="{FF2B5EF4-FFF2-40B4-BE49-F238E27FC236}">
              <a16:creationId xmlns:a16="http://schemas.microsoft.com/office/drawing/2014/main" id="{C224EFD7-D2BA-8D78-6ED2-BE91763569BF}"/>
            </a:ext>
          </a:extLst>
        </xdr:cNvPr>
        <xdr:cNvSpPr/>
      </xdr:nvSpPr>
      <xdr:spPr>
        <a:xfrm>
          <a:off x="13547823624" y="6176975"/>
          <a:ext cx="262997" cy="1017385"/>
        </a:xfrm>
        <a:prstGeom prst="lef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r" rtl="1"/>
          <a:endParaRPr lang="en-US" sz="1100"/>
        </a:p>
      </xdr:txBody>
    </xdr:sp>
    <xdr:clientData/>
  </xdr:twoCellAnchor>
  <xdr:oneCellAnchor>
    <xdr:from>
      <xdr:col>3</xdr:col>
      <xdr:colOff>232656</xdr:colOff>
      <xdr:row>29</xdr:row>
      <xdr:rowOff>9163</xdr:rowOff>
    </xdr:from>
    <xdr:ext cx="190758" cy="1493510"/>
    <mc:AlternateContent xmlns:mc="http://schemas.openxmlformats.org/markup-compatibility/2006" xmlns:a14="http://schemas.microsoft.com/office/drawing/2010/main">
      <mc:Choice Requires="a14">
        <xdr:sp macro="" textlink="">
          <xdr:nvSpPr>
            <xdr:cNvPr id="147" name="TextBox 146">
              <a:extLst>
                <a:ext uri="{FF2B5EF4-FFF2-40B4-BE49-F238E27FC236}">
                  <a16:creationId xmlns:a16="http://schemas.microsoft.com/office/drawing/2014/main" id="{1657DE52-BDD7-14E5-1BF9-41D3681DCBCF}"/>
                </a:ext>
              </a:extLst>
            </xdr:cNvPr>
            <xdr:cNvSpPr txBox="1"/>
          </xdr:nvSpPr>
          <xdr:spPr>
            <a:xfrm rot="16200000">
              <a:off x="13546949542" y="6591820"/>
              <a:ext cx="1493510" cy="190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בחומר לא</m:t>
                    </m:r>
                  </m:oMath>
                </m:oMathPara>
              </a14:m>
              <a:endParaRPr lang="en-US" sz="1100"/>
            </a:p>
          </xdr:txBody>
        </xdr:sp>
      </mc:Choice>
      <mc:Fallback xmlns="">
        <xdr:sp macro="" textlink="">
          <xdr:nvSpPr>
            <xdr:cNvPr id="147" name="TextBox 146">
              <a:extLst>
                <a:ext uri="{FF2B5EF4-FFF2-40B4-BE49-F238E27FC236}">
                  <a16:creationId xmlns:a16="http://schemas.microsoft.com/office/drawing/2014/main" id="{1657DE52-BDD7-14E5-1BF9-41D3681DCBCF}"/>
                </a:ext>
              </a:extLst>
            </xdr:cNvPr>
            <xdr:cNvSpPr txBox="1"/>
          </xdr:nvSpPr>
          <xdr:spPr>
            <a:xfrm rot="16200000">
              <a:off x="13546949542" y="6591820"/>
              <a:ext cx="1493510" cy="190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בחומר לא</a:t>
              </a:r>
              <a:endParaRPr lang="en-US" sz="1100"/>
            </a:p>
          </xdr:txBody>
        </xdr:sp>
      </mc:Fallback>
    </mc:AlternateContent>
    <xdr:clientData/>
  </xdr:oneCellAnchor>
  <xdr:twoCellAnchor>
    <xdr:from>
      <xdr:col>4</xdr:col>
      <xdr:colOff>195437</xdr:colOff>
      <xdr:row>35</xdr:row>
      <xdr:rowOff>39441</xdr:rowOff>
    </xdr:from>
    <xdr:to>
      <xdr:col>5</xdr:col>
      <xdr:colOff>9462</xdr:colOff>
      <xdr:row>36</xdr:row>
      <xdr:rowOff>54347</xdr:rowOff>
    </xdr:to>
    <xdr:sp macro="" textlink="">
      <xdr:nvSpPr>
        <xdr:cNvPr id="148" name="Down Arrow 147">
          <a:extLst>
            <a:ext uri="{FF2B5EF4-FFF2-40B4-BE49-F238E27FC236}">
              <a16:creationId xmlns:a16="http://schemas.microsoft.com/office/drawing/2014/main" id="{EE1F9F55-5BEE-FFD5-B98C-F57E84BEE2CF}"/>
            </a:ext>
          </a:extLst>
        </xdr:cNvPr>
        <xdr:cNvSpPr/>
      </xdr:nvSpPr>
      <xdr:spPr>
        <a:xfrm rot="18166151">
          <a:off x="13546571759" y="6995114"/>
          <a:ext cx="219075" cy="641082"/>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7</xdr:col>
      <xdr:colOff>288829</xdr:colOff>
      <xdr:row>407</xdr:row>
      <xdr:rowOff>25485</xdr:rowOff>
    </xdr:from>
    <xdr:to>
      <xdr:col>9</xdr:col>
      <xdr:colOff>496957</xdr:colOff>
      <xdr:row>411</xdr:row>
      <xdr:rowOff>127425</xdr:rowOff>
    </xdr:to>
    <xdr:sp macro="" textlink="">
      <xdr:nvSpPr>
        <xdr:cNvPr id="149" name="Rectangular Callout 148">
          <a:extLst>
            <a:ext uri="{FF2B5EF4-FFF2-40B4-BE49-F238E27FC236}">
              <a16:creationId xmlns:a16="http://schemas.microsoft.com/office/drawing/2014/main" id="{FD188881-E240-5F46-E16F-B8F9AA0A4422}"/>
            </a:ext>
          </a:extLst>
        </xdr:cNvPr>
        <xdr:cNvSpPr/>
      </xdr:nvSpPr>
      <xdr:spPr>
        <a:xfrm>
          <a:off x="13492722107" y="83437726"/>
          <a:ext cx="1856154" cy="917458"/>
        </a:xfrm>
        <a:prstGeom prst="wedgeRectCallout">
          <a:avLst>
            <a:gd name="adj1" fmla="val 60174"/>
            <a:gd name="adj2" fmla="val 39815"/>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וואללק אני נהג שז״מ תכין לי 200 במזומן אני מגיע אליך בערב עם המחונה</a:t>
          </a:r>
          <a:r>
            <a:rPr lang="he-IL" sz="1100" baseline="0"/>
            <a:t> נקניק</a:t>
          </a:r>
          <a:endParaRPr lang="en-US" sz="1100"/>
        </a:p>
      </xdr:txBody>
    </xdr:sp>
    <xdr:clientData/>
  </xdr:twoCellAnchor>
  <xdr:twoCellAnchor editAs="oneCell">
    <xdr:from>
      <xdr:col>12</xdr:col>
      <xdr:colOff>216622</xdr:colOff>
      <xdr:row>464</xdr:row>
      <xdr:rowOff>102418</xdr:rowOff>
    </xdr:from>
    <xdr:to>
      <xdr:col>13</xdr:col>
      <xdr:colOff>565596</xdr:colOff>
      <xdr:row>469</xdr:row>
      <xdr:rowOff>80573</xdr:rowOff>
    </xdr:to>
    <xdr:pic>
      <xdr:nvPicPr>
        <xdr:cNvPr id="150" name="Picture 149">
          <a:extLst>
            <a:ext uri="{FF2B5EF4-FFF2-40B4-BE49-F238E27FC236}">
              <a16:creationId xmlns:a16="http://schemas.microsoft.com/office/drawing/2014/main" id="{DA7AE787-A79E-E95F-D1E5-90DE1E3B6BC4}"/>
            </a:ext>
          </a:extLst>
        </xdr:cNvPr>
        <xdr:cNvPicPr>
          <a:picLocks noChangeAspect="1"/>
        </xdr:cNvPicPr>
      </xdr:nvPicPr>
      <xdr:blipFill>
        <a:blip xmlns:r="http://schemas.openxmlformats.org/officeDocument/2006/relationships" r:embed="rId20"/>
        <a:stretch>
          <a:fillRect/>
        </a:stretch>
      </xdr:blipFill>
      <xdr:spPr>
        <a:xfrm>
          <a:off x="13489357414" y="95135796"/>
          <a:ext cx="1172987" cy="1010295"/>
        </a:xfrm>
        <a:prstGeom prst="rect">
          <a:avLst/>
        </a:prstGeom>
      </xdr:spPr>
    </xdr:pic>
    <xdr:clientData/>
  </xdr:twoCellAnchor>
  <xdr:twoCellAnchor editAs="oneCell">
    <xdr:from>
      <xdr:col>8</xdr:col>
      <xdr:colOff>119731</xdr:colOff>
      <xdr:row>514</xdr:row>
      <xdr:rowOff>122177</xdr:rowOff>
    </xdr:from>
    <xdr:to>
      <xdr:col>11</xdr:col>
      <xdr:colOff>525790</xdr:colOff>
      <xdr:row>526</xdr:row>
      <xdr:rowOff>59052</xdr:rowOff>
    </xdr:to>
    <xdr:pic>
      <xdr:nvPicPr>
        <xdr:cNvPr id="151" name="Picture 150">
          <a:extLst>
            <a:ext uri="{FF2B5EF4-FFF2-40B4-BE49-F238E27FC236}">
              <a16:creationId xmlns:a16="http://schemas.microsoft.com/office/drawing/2014/main" id="{849DA210-D941-BCA0-C4B8-F0AEC7BEEE3E}"/>
            </a:ext>
          </a:extLst>
        </xdr:cNvPr>
        <xdr:cNvPicPr>
          <a:picLocks noChangeAspect="1"/>
        </xdr:cNvPicPr>
      </xdr:nvPicPr>
      <xdr:blipFill>
        <a:blip xmlns:r="http://schemas.openxmlformats.org/officeDocument/2006/relationships" r:embed="rId21"/>
        <a:stretch>
          <a:fillRect/>
        </a:stretch>
      </xdr:blipFill>
      <xdr:spPr>
        <a:xfrm>
          <a:off x="13511885086" y="105998271"/>
          <a:ext cx="2881917" cy="2399906"/>
        </a:xfrm>
        <a:prstGeom prst="rect">
          <a:avLst/>
        </a:prstGeom>
      </xdr:spPr>
    </xdr:pic>
    <xdr:clientData/>
  </xdr:twoCellAnchor>
  <xdr:twoCellAnchor>
    <xdr:from>
      <xdr:col>8</xdr:col>
      <xdr:colOff>632862</xdr:colOff>
      <xdr:row>516</xdr:row>
      <xdr:rowOff>29933</xdr:rowOff>
    </xdr:from>
    <xdr:to>
      <xdr:col>9</xdr:col>
      <xdr:colOff>359192</xdr:colOff>
      <xdr:row>517</xdr:row>
      <xdr:rowOff>76970</xdr:rowOff>
    </xdr:to>
    <xdr:sp macro="" textlink="">
      <xdr:nvSpPr>
        <xdr:cNvPr id="152" name="Rounded Rectangle 151">
          <a:extLst>
            <a:ext uri="{FF2B5EF4-FFF2-40B4-BE49-F238E27FC236}">
              <a16:creationId xmlns:a16="http://schemas.microsoft.com/office/drawing/2014/main" id="{FB3904A7-A74D-75F5-9B89-A648587A60F1}"/>
            </a:ext>
          </a:extLst>
        </xdr:cNvPr>
        <xdr:cNvSpPr/>
      </xdr:nvSpPr>
      <xdr:spPr>
        <a:xfrm>
          <a:off x="13513702256" y="106316532"/>
          <a:ext cx="551616" cy="25229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400"/>
            <a:t>אני</a:t>
          </a:r>
          <a:r>
            <a:rPr lang="he-IL" sz="400" baseline="0"/>
            <a:t> חולה על חשבונאות</a:t>
          </a:r>
          <a:endParaRPr lang="en-US" sz="400"/>
        </a:p>
      </xdr:txBody>
    </xdr:sp>
    <xdr:clientData/>
  </xdr:twoCellAnchor>
  <xdr:twoCellAnchor>
    <xdr:from>
      <xdr:col>10</xdr:col>
      <xdr:colOff>637138</xdr:colOff>
      <xdr:row>522</xdr:row>
      <xdr:rowOff>8553</xdr:rowOff>
    </xdr:from>
    <xdr:to>
      <xdr:col>11</xdr:col>
      <xdr:colOff>171044</xdr:colOff>
      <xdr:row>523</xdr:row>
      <xdr:rowOff>55589</xdr:rowOff>
    </xdr:to>
    <xdr:sp macro="" textlink="">
      <xdr:nvSpPr>
        <xdr:cNvPr id="153" name="Rounded Rectangle 152">
          <a:extLst>
            <a:ext uri="{FF2B5EF4-FFF2-40B4-BE49-F238E27FC236}">
              <a16:creationId xmlns:a16="http://schemas.microsoft.com/office/drawing/2014/main" id="{DC314145-FEAA-B606-5363-6038249F86E2}"/>
            </a:ext>
          </a:extLst>
        </xdr:cNvPr>
        <xdr:cNvSpPr/>
      </xdr:nvSpPr>
      <xdr:spPr>
        <a:xfrm>
          <a:off x="13512239832" y="107526667"/>
          <a:ext cx="359192" cy="252289"/>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400"/>
            <a:t>את</a:t>
          </a:r>
          <a:r>
            <a:rPr lang="he-IL" sz="400" baseline="0"/>
            <a:t> פגומה חיימי</a:t>
          </a:r>
          <a:endParaRPr lang="en-US" sz="400"/>
        </a:p>
      </xdr:txBody>
    </xdr:sp>
    <xdr:clientData/>
  </xdr:twoCellAnchor>
  <xdr:twoCellAnchor>
    <xdr:from>
      <xdr:col>8</xdr:col>
      <xdr:colOff>367745</xdr:colOff>
      <xdr:row>524</xdr:row>
      <xdr:rowOff>149662</xdr:rowOff>
    </xdr:from>
    <xdr:to>
      <xdr:col>8</xdr:col>
      <xdr:colOff>786802</xdr:colOff>
      <xdr:row>526</xdr:row>
      <xdr:rowOff>4276</xdr:rowOff>
    </xdr:to>
    <xdr:sp macro="" textlink="">
      <xdr:nvSpPr>
        <xdr:cNvPr id="154" name="Rounded Rectangle 153">
          <a:extLst>
            <a:ext uri="{FF2B5EF4-FFF2-40B4-BE49-F238E27FC236}">
              <a16:creationId xmlns:a16="http://schemas.microsoft.com/office/drawing/2014/main" id="{3678E3AE-F9DE-69D4-42F5-C87F67321494}"/>
            </a:ext>
          </a:extLst>
        </xdr:cNvPr>
        <xdr:cNvSpPr/>
      </xdr:nvSpPr>
      <xdr:spPr>
        <a:xfrm>
          <a:off x="13514099932" y="108078282"/>
          <a:ext cx="419057" cy="265119"/>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400"/>
            <a:t>שרופה על ססי הנסיך</a:t>
          </a:r>
          <a:endParaRPr lang="en-US" sz="400"/>
        </a:p>
      </xdr:txBody>
    </xdr:sp>
    <xdr:clientData/>
  </xdr:twoCellAnchor>
  <xdr:twoCellAnchor editAs="oneCell">
    <xdr:from>
      <xdr:col>1</xdr:col>
      <xdr:colOff>564445</xdr:colOff>
      <xdr:row>537</xdr:row>
      <xdr:rowOff>89798</xdr:rowOff>
    </xdr:from>
    <xdr:to>
      <xdr:col>5</xdr:col>
      <xdr:colOff>811804</xdr:colOff>
      <xdr:row>547</xdr:row>
      <xdr:rowOff>12204</xdr:rowOff>
    </xdr:to>
    <xdr:pic>
      <xdr:nvPicPr>
        <xdr:cNvPr id="155" name="Picture 154">
          <a:extLst>
            <a:ext uri="{FF2B5EF4-FFF2-40B4-BE49-F238E27FC236}">
              <a16:creationId xmlns:a16="http://schemas.microsoft.com/office/drawing/2014/main" id="{DD5E9616-C5E2-6386-43BC-1D64BEEDDC0C}"/>
            </a:ext>
          </a:extLst>
        </xdr:cNvPr>
        <xdr:cNvPicPr>
          <a:picLocks noChangeAspect="1"/>
        </xdr:cNvPicPr>
      </xdr:nvPicPr>
      <xdr:blipFill>
        <a:blip xmlns:r="http://schemas.openxmlformats.org/officeDocument/2006/relationships" r:embed="rId22"/>
        <a:stretch>
          <a:fillRect/>
        </a:stretch>
      </xdr:blipFill>
      <xdr:spPr>
        <a:xfrm>
          <a:off x="13540446157" y="110181367"/>
          <a:ext cx="3554339" cy="196436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546806</xdr:colOff>
      <xdr:row>58</xdr:row>
      <xdr:rowOff>197555</xdr:rowOff>
    </xdr:from>
    <xdr:to>
      <xdr:col>6</xdr:col>
      <xdr:colOff>49389</xdr:colOff>
      <xdr:row>60</xdr:row>
      <xdr:rowOff>70555</xdr:rowOff>
    </xdr:to>
    <xdr:cxnSp macro="">
      <xdr:nvCxnSpPr>
        <xdr:cNvPr id="3" name="Straight Arrow Connector 2">
          <a:extLst>
            <a:ext uri="{FF2B5EF4-FFF2-40B4-BE49-F238E27FC236}">
              <a16:creationId xmlns:a16="http://schemas.microsoft.com/office/drawing/2014/main" id="{CF3E5A73-2936-C366-6AD7-94D361E00F37}"/>
            </a:ext>
          </a:extLst>
        </xdr:cNvPr>
        <xdr:cNvCxnSpPr/>
      </xdr:nvCxnSpPr>
      <xdr:spPr>
        <a:xfrm flipH="1">
          <a:off x="13519989611" y="11267722"/>
          <a:ext cx="328083" cy="28222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105834</xdr:colOff>
      <xdr:row>58</xdr:row>
      <xdr:rowOff>179916</xdr:rowOff>
    </xdr:from>
    <xdr:to>
      <xdr:col>5</xdr:col>
      <xdr:colOff>359833</xdr:colOff>
      <xdr:row>61</xdr:row>
      <xdr:rowOff>24694</xdr:rowOff>
    </xdr:to>
    <xdr:cxnSp macro="">
      <xdr:nvCxnSpPr>
        <xdr:cNvPr id="4" name="Straight Arrow Connector 3">
          <a:extLst>
            <a:ext uri="{FF2B5EF4-FFF2-40B4-BE49-F238E27FC236}">
              <a16:creationId xmlns:a16="http://schemas.microsoft.com/office/drawing/2014/main" id="{A3F7909D-97FB-94EB-B011-624CBAB20F11}"/>
            </a:ext>
          </a:extLst>
        </xdr:cNvPr>
        <xdr:cNvCxnSpPr/>
      </xdr:nvCxnSpPr>
      <xdr:spPr>
        <a:xfrm flipH="1">
          <a:off x="13520504667" y="11250083"/>
          <a:ext cx="253999" cy="45861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328083</xdr:colOff>
      <xdr:row>58</xdr:row>
      <xdr:rowOff>179916</xdr:rowOff>
    </xdr:from>
    <xdr:to>
      <xdr:col>3</xdr:col>
      <xdr:colOff>84667</xdr:colOff>
      <xdr:row>61</xdr:row>
      <xdr:rowOff>31750</xdr:rowOff>
    </xdr:to>
    <xdr:cxnSp macro="">
      <xdr:nvCxnSpPr>
        <xdr:cNvPr id="6" name="Straight Arrow Connector 5">
          <a:extLst>
            <a:ext uri="{FF2B5EF4-FFF2-40B4-BE49-F238E27FC236}">
              <a16:creationId xmlns:a16="http://schemas.microsoft.com/office/drawing/2014/main" id="{428E194E-E0F6-8D37-C0EF-82B8B2F35E8C}"/>
            </a:ext>
          </a:extLst>
        </xdr:cNvPr>
        <xdr:cNvCxnSpPr/>
      </xdr:nvCxnSpPr>
      <xdr:spPr>
        <a:xfrm>
          <a:off x="13522430833" y="11250083"/>
          <a:ext cx="582084" cy="4656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395111</xdr:colOff>
      <xdr:row>59</xdr:row>
      <xdr:rowOff>21167</xdr:rowOff>
    </xdr:from>
    <xdr:to>
      <xdr:col>4</xdr:col>
      <xdr:colOff>416278</xdr:colOff>
      <xdr:row>62</xdr:row>
      <xdr:rowOff>148167</xdr:rowOff>
    </xdr:to>
    <xdr:cxnSp macro="">
      <xdr:nvCxnSpPr>
        <xdr:cNvPr id="8" name="Straight Arrow Connector 7">
          <a:extLst>
            <a:ext uri="{FF2B5EF4-FFF2-40B4-BE49-F238E27FC236}">
              <a16:creationId xmlns:a16="http://schemas.microsoft.com/office/drawing/2014/main" id="{9A0E5FA9-3C8C-ABFD-7BB4-5C19FB77C4D1}"/>
            </a:ext>
          </a:extLst>
        </xdr:cNvPr>
        <xdr:cNvCxnSpPr/>
      </xdr:nvCxnSpPr>
      <xdr:spPr>
        <a:xfrm>
          <a:off x="13521273722" y="11295945"/>
          <a:ext cx="21167" cy="74083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444500</xdr:colOff>
      <xdr:row>59</xdr:row>
      <xdr:rowOff>21167</xdr:rowOff>
    </xdr:from>
    <xdr:to>
      <xdr:col>3</xdr:col>
      <xdr:colOff>469195</xdr:colOff>
      <xdr:row>65</xdr:row>
      <xdr:rowOff>42334</xdr:rowOff>
    </xdr:to>
    <xdr:cxnSp macro="">
      <xdr:nvCxnSpPr>
        <xdr:cNvPr id="10" name="Straight Arrow Connector 9">
          <a:extLst>
            <a:ext uri="{FF2B5EF4-FFF2-40B4-BE49-F238E27FC236}">
              <a16:creationId xmlns:a16="http://schemas.microsoft.com/office/drawing/2014/main" id="{7AF76F27-6F7B-FDA6-CD32-E1E51DF27192}"/>
            </a:ext>
          </a:extLst>
        </xdr:cNvPr>
        <xdr:cNvCxnSpPr/>
      </xdr:nvCxnSpPr>
      <xdr:spPr>
        <a:xfrm>
          <a:off x="13522046305" y="11295945"/>
          <a:ext cx="24695" cy="124883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260619</xdr:colOff>
      <xdr:row>179</xdr:row>
      <xdr:rowOff>130896</xdr:rowOff>
    </xdr:from>
    <xdr:to>
      <xdr:col>5</xdr:col>
      <xdr:colOff>644680</xdr:colOff>
      <xdr:row>190</xdr:row>
      <xdr:rowOff>71439</xdr:rowOff>
    </xdr:to>
    <xdr:pic>
      <xdr:nvPicPr>
        <xdr:cNvPr id="13" name="Picture 12">
          <a:extLst>
            <a:ext uri="{FF2B5EF4-FFF2-40B4-BE49-F238E27FC236}">
              <a16:creationId xmlns:a16="http://schemas.microsoft.com/office/drawing/2014/main" id="{6DB9F87C-DF2E-32E0-AE77-CC0AE4AB1834}"/>
            </a:ext>
          </a:extLst>
        </xdr:cNvPr>
        <xdr:cNvPicPr>
          <a:picLocks noChangeAspect="1"/>
        </xdr:cNvPicPr>
      </xdr:nvPicPr>
      <xdr:blipFill>
        <a:blip xmlns:r="http://schemas.openxmlformats.org/officeDocument/2006/relationships" r:embed="rId1"/>
        <a:stretch>
          <a:fillRect/>
        </a:stretch>
      </xdr:blipFill>
      <xdr:spPr>
        <a:xfrm>
          <a:off x="13550710369" y="35943241"/>
          <a:ext cx="4520869" cy="2195104"/>
        </a:xfrm>
        <a:prstGeom prst="rect">
          <a:avLst/>
        </a:prstGeom>
      </xdr:spPr>
    </xdr:pic>
    <xdr:clientData/>
  </xdr:twoCellAnchor>
  <xdr:twoCellAnchor editAs="oneCell">
    <xdr:from>
      <xdr:col>0</xdr:col>
      <xdr:colOff>82737</xdr:colOff>
      <xdr:row>197</xdr:row>
      <xdr:rowOff>63027</xdr:rowOff>
    </xdr:from>
    <xdr:to>
      <xdr:col>5</xdr:col>
      <xdr:colOff>763629</xdr:colOff>
      <xdr:row>205</xdr:row>
      <xdr:rowOff>57915</xdr:rowOff>
    </xdr:to>
    <xdr:pic>
      <xdr:nvPicPr>
        <xdr:cNvPr id="14" name="Picture 13">
          <a:extLst>
            <a:ext uri="{FF2B5EF4-FFF2-40B4-BE49-F238E27FC236}">
              <a16:creationId xmlns:a16="http://schemas.microsoft.com/office/drawing/2014/main" id="{61C46097-5A6A-24A3-9182-F4436CE6A9F1}"/>
            </a:ext>
          </a:extLst>
        </xdr:cNvPr>
        <xdr:cNvPicPr>
          <a:picLocks noChangeAspect="1"/>
        </xdr:cNvPicPr>
      </xdr:nvPicPr>
      <xdr:blipFill>
        <a:blip xmlns:r="http://schemas.openxmlformats.org/officeDocument/2006/relationships" r:embed="rId2"/>
        <a:stretch>
          <a:fillRect/>
        </a:stretch>
      </xdr:blipFill>
      <xdr:spPr>
        <a:xfrm>
          <a:off x="13550591420" y="39573678"/>
          <a:ext cx="4817700" cy="1616517"/>
        </a:xfrm>
        <a:prstGeom prst="rect">
          <a:avLst/>
        </a:prstGeom>
      </xdr:spPr>
    </xdr:pic>
    <xdr:clientData/>
  </xdr:twoCellAnchor>
  <xdr:oneCellAnchor>
    <xdr:from>
      <xdr:col>5</xdr:col>
      <xdr:colOff>428077</xdr:colOff>
      <xdr:row>206</xdr:row>
      <xdr:rowOff>84721</xdr:rowOff>
    </xdr:from>
    <xdr:ext cx="31868" cy="172227"/>
    <mc:AlternateContent xmlns:mc="http://schemas.openxmlformats.org/markup-compatibility/2006" xmlns:a14="http://schemas.microsoft.com/office/drawing/2010/main">
      <mc:Choice Requires="a14">
        <xdr:sp macro="" textlink="">
          <xdr:nvSpPr>
            <xdr:cNvPr id="15" name="TextBox 14">
              <a:extLst>
                <a:ext uri="{FF2B5EF4-FFF2-40B4-BE49-F238E27FC236}">
                  <a16:creationId xmlns:a16="http://schemas.microsoft.com/office/drawing/2014/main" id="{BA072E1D-018F-1A39-40E9-EEAEF197502A}"/>
                </a:ext>
              </a:extLst>
            </xdr:cNvPr>
            <xdr:cNvSpPr txBox="1"/>
          </xdr:nvSpPr>
          <xdr:spPr>
            <a:xfrm>
              <a:off x="13550895104" y="41419705"/>
              <a:ext cx="3186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rtl="1"/>
              <a14:m>
                <m:oMathPara xmlns:m="http://schemas.openxmlformats.org/officeDocument/2006/math">
                  <m:oMath>
                    <m:r>
                      <m:rPr>
                        <m:nor/>
                      </m:rPr>
                      <a:rPr lang="en-US" sz="1100" i="1">
                        <a:latin typeface="Cambria Math" panose="02040503050406030204" pitchFamily="18" charset="0"/>
                      </a:rPr>
                      <m:t>
                        <a:fld id="{825F15A7-03F4-43D7-82C5-3E23DA2F108C}" type="mathplaceholder">
                          <a:rPr lang="en-US" sz="1100" i="1">
                            <a:latin typeface="Cambria Math" panose="02040503050406030204" pitchFamily="18" charset="0"/>
                          </a:rPr>
                          <a:t>Type equation here.</a:t>
                        </a:fld>
                      </m:t>
                    </m:r>
                  </m:oMath>
                </m:oMathPara>
              </a14:m>
              <a:endParaRPr lang="en-US" sz="1100"/>
            </a:p>
          </xdr:txBody>
        </xdr:sp>
      </mc:Choice>
      <mc:Fallback xmlns="">
        <xdr:sp macro="" textlink="">
          <xdr:nvSpPr>
            <xdr:cNvPr id="15" name="TextBox 14">
              <a:extLst>
                <a:ext uri="{FF2B5EF4-FFF2-40B4-BE49-F238E27FC236}">
                  <a16:creationId xmlns:a16="http://schemas.microsoft.com/office/drawing/2014/main" id="{BA072E1D-018F-1A39-40E9-EEAEF197502A}"/>
                </a:ext>
              </a:extLst>
            </xdr:cNvPr>
            <xdr:cNvSpPr txBox="1"/>
          </xdr:nvSpPr>
          <xdr:spPr>
            <a:xfrm>
              <a:off x="13550895104" y="41419705"/>
              <a:ext cx="3186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rtl="1"/>
              <a:r>
                <a:rPr lang="en-US" sz="1100" i="0">
                  <a:latin typeface="Cambria Math" panose="02040503050406030204" pitchFamily="18" charset="0"/>
                </a:rPr>
                <a:t>"Type equation here."</a:t>
              </a:r>
              <a:endParaRPr lang="en-US" sz="1100"/>
            </a:p>
          </xdr:txBody>
        </xdr:sp>
      </mc:Fallback>
    </mc:AlternateContent>
    <xdr:clientData/>
  </xdr:oneCellAnchor>
  <xdr:twoCellAnchor>
    <xdr:from>
      <xdr:col>6</xdr:col>
      <xdr:colOff>322672</xdr:colOff>
      <xdr:row>216</xdr:row>
      <xdr:rowOff>33094</xdr:rowOff>
    </xdr:from>
    <xdr:to>
      <xdr:col>6</xdr:col>
      <xdr:colOff>479870</xdr:colOff>
      <xdr:row>217</xdr:row>
      <xdr:rowOff>95147</xdr:rowOff>
    </xdr:to>
    <xdr:sp macro="" textlink="">
      <xdr:nvSpPr>
        <xdr:cNvPr id="16" name="Down Arrow 15">
          <a:extLst>
            <a:ext uri="{FF2B5EF4-FFF2-40B4-BE49-F238E27FC236}">
              <a16:creationId xmlns:a16="http://schemas.microsoft.com/office/drawing/2014/main" id="{AE1256E5-3BAB-68BF-1AC1-310EEC990DBA}"/>
            </a:ext>
          </a:extLst>
        </xdr:cNvPr>
        <xdr:cNvSpPr/>
      </xdr:nvSpPr>
      <xdr:spPr>
        <a:xfrm>
          <a:off x="13550047818" y="43395114"/>
          <a:ext cx="157198" cy="264756"/>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10</xdr:col>
      <xdr:colOff>517101</xdr:colOff>
      <xdr:row>216</xdr:row>
      <xdr:rowOff>57915</xdr:rowOff>
    </xdr:from>
    <xdr:to>
      <xdr:col>10</xdr:col>
      <xdr:colOff>674299</xdr:colOff>
      <xdr:row>217</xdr:row>
      <xdr:rowOff>119968</xdr:rowOff>
    </xdr:to>
    <xdr:sp macro="" textlink="">
      <xdr:nvSpPr>
        <xdr:cNvPr id="17" name="Down Arrow 16">
          <a:extLst>
            <a:ext uri="{FF2B5EF4-FFF2-40B4-BE49-F238E27FC236}">
              <a16:creationId xmlns:a16="http://schemas.microsoft.com/office/drawing/2014/main" id="{325DA9D5-8A5C-A0B8-58CF-22B42555F7BE}"/>
            </a:ext>
          </a:extLst>
        </xdr:cNvPr>
        <xdr:cNvSpPr/>
      </xdr:nvSpPr>
      <xdr:spPr>
        <a:xfrm>
          <a:off x="13546543942" y="43419935"/>
          <a:ext cx="157198" cy="264756"/>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8</xdr:col>
      <xdr:colOff>546059</xdr:colOff>
      <xdr:row>216</xdr:row>
      <xdr:rowOff>33095</xdr:rowOff>
    </xdr:from>
    <xdr:to>
      <xdr:col>8</xdr:col>
      <xdr:colOff>703257</xdr:colOff>
      <xdr:row>217</xdr:row>
      <xdr:rowOff>95148</xdr:rowOff>
    </xdr:to>
    <xdr:sp macro="" textlink="">
      <xdr:nvSpPr>
        <xdr:cNvPr id="18" name="Down Arrow 17">
          <a:extLst>
            <a:ext uri="{FF2B5EF4-FFF2-40B4-BE49-F238E27FC236}">
              <a16:creationId xmlns:a16="http://schemas.microsoft.com/office/drawing/2014/main" id="{519BDE34-8C43-FED2-D798-4AA7869D7652}"/>
            </a:ext>
          </a:extLst>
        </xdr:cNvPr>
        <xdr:cNvSpPr/>
      </xdr:nvSpPr>
      <xdr:spPr>
        <a:xfrm>
          <a:off x="13548169707" y="43395115"/>
          <a:ext cx="157198" cy="264756"/>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editAs="oneCell">
    <xdr:from>
      <xdr:col>0</xdr:col>
      <xdr:colOff>0</xdr:colOff>
      <xdr:row>452</xdr:row>
      <xdr:rowOff>154970</xdr:rowOff>
    </xdr:from>
    <xdr:to>
      <xdr:col>7</xdr:col>
      <xdr:colOff>473393</xdr:colOff>
      <xdr:row>464</xdr:row>
      <xdr:rowOff>1438</xdr:rowOff>
    </xdr:to>
    <xdr:pic>
      <xdr:nvPicPr>
        <xdr:cNvPr id="19" name="Picture 18">
          <a:extLst>
            <a:ext uri="{FF2B5EF4-FFF2-40B4-BE49-F238E27FC236}">
              <a16:creationId xmlns:a16="http://schemas.microsoft.com/office/drawing/2014/main" id="{D704D733-0802-FBD1-9359-38BB5290E519}"/>
            </a:ext>
          </a:extLst>
        </xdr:cNvPr>
        <xdr:cNvPicPr>
          <a:picLocks noChangeAspect="1"/>
        </xdr:cNvPicPr>
      </xdr:nvPicPr>
      <xdr:blipFill>
        <a:blip xmlns:r="http://schemas.openxmlformats.org/officeDocument/2006/relationships" r:embed="rId3"/>
        <a:stretch>
          <a:fillRect/>
        </a:stretch>
      </xdr:blipFill>
      <xdr:spPr>
        <a:xfrm>
          <a:off x="13493979642" y="93212708"/>
          <a:ext cx="6241310" cy="2295754"/>
        </a:xfrm>
        <a:prstGeom prst="rect">
          <a:avLst/>
        </a:prstGeom>
      </xdr:spPr>
    </xdr:pic>
    <xdr:clientData/>
  </xdr:twoCellAnchor>
  <xdr:twoCellAnchor editAs="oneCell">
    <xdr:from>
      <xdr:col>0</xdr:col>
      <xdr:colOff>34914</xdr:colOff>
      <xdr:row>510</xdr:row>
      <xdr:rowOff>135292</xdr:rowOff>
    </xdr:from>
    <xdr:to>
      <xdr:col>7</xdr:col>
      <xdr:colOff>392270</xdr:colOff>
      <xdr:row>522</xdr:row>
      <xdr:rowOff>5459</xdr:rowOff>
    </xdr:to>
    <xdr:pic>
      <xdr:nvPicPr>
        <xdr:cNvPr id="20" name="Picture 19">
          <a:extLst>
            <a:ext uri="{FF2B5EF4-FFF2-40B4-BE49-F238E27FC236}">
              <a16:creationId xmlns:a16="http://schemas.microsoft.com/office/drawing/2014/main" id="{5A2F9E98-CC50-08B3-C563-E85740699017}"/>
            </a:ext>
          </a:extLst>
        </xdr:cNvPr>
        <xdr:cNvPicPr>
          <a:picLocks noChangeAspect="1"/>
        </xdr:cNvPicPr>
      </xdr:nvPicPr>
      <xdr:blipFill>
        <a:blip xmlns:r="http://schemas.openxmlformats.org/officeDocument/2006/relationships" r:embed="rId4"/>
        <a:stretch>
          <a:fillRect/>
        </a:stretch>
      </xdr:blipFill>
      <xdr:spPr>
        <a:xfrm>
          <a:off x="13508100204" y="105449278"/>
          <a:ext cx="6131274" cy="233161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4</xdr:col>
      <xdr:colOff>8247</xdr:colOff>
      <xdr:row>466</xdr:row>
      <xdr:rowOff>101518</xdr:rowOff>
    </xdr:from>
    <xdr:ext cx="1673468" cy="490262"/>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4F1B3C1C-DEE5-0E4E-91B7-4CB7E29B2509}"/>
                </a:ext>
              </a:extLst>
            </xdr:cNvPr>
            <xdr:cNvSpPr txBox="1"/>
          </xdr:nvSpPr>
          <xdr:spPr>
            <a:xfrm>
              <a:off x="13506500103" y="28321908"/>
              <a:ext cx="1673468" cy="4902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f>
                      <m:fPr>
                        <m:ctrlPr>
                          <a:rPr lang="he-IL" sz="1100" b="0" i="1">
                            <a:latin typeface="Cambria Math" panose="02040503050406030204" pitchFamily="18" charset="0"/>
                          </a:rPr>
                        </m:ctrlPr>
                      </m:fPr>
                      <m:num>
                        <m:r>
                          <a:rPr lang="he-IL" sz="1100" b="0" i="1">
                            <a:latin typeface="Cambria Math" panose="02040503050406030204" pitchFamily="18" charset="0"/>
                          </a:rPr>
                          <m:t>1,000−0</m:t>
                        </m:r>
                      </m:num>
                      <m:den>
                        <m:r>
                          <a:rPr lang="he-IL" sz="1100" b="0" i="1">
                            <a:latin typeface="Cambria Math" panose="02040503050406030204" pitchFamily="18" charset="0"/>
                          </a:rPr>
                          <m:t>10</m:t>
                        </m:r>
                      </m:den>
                    </m:f>
                    <m:r>
                      <a:rPr lang="he-IL"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9</m:t>
                        </m:r>
                      </m:num>
                      <m:den>
                        <m:r>
                          <a:rPr lang="he-IL" sz="1100" b="0" i="1">
                            <a:latin typeface="Cambria Math" panose="02040503050406030204" pitchFamily="18" charset="0"/>
                          </a:rPr>
                          <m:t>12</m:t>
                        </m:r>
                      </m:den>
                    </m:f>
                    <m:r>
                      <a:rPr lang="he-IL" sz="1100" b="0" i="1">
                        <a:latin typeface="Cambria Math" panose="02040503050406030204" pitchFamily="18" charset="0"/>
                      </a:rPr>
                      <m:t>=</m:t>
                    </m:r>
                    <m:r>
                      <a:rPr lang="he-IL" sz="1100" b="1" i="1">
                        <a:solidFill>
                          <a:srgbClr val="FF0000"/>
                        </a:solidFill>
                        <a:latin typeface="Cambria Math" panose="02040503050406030204" pitchFamily="18" charset="0"/>
                      </a:rPr>
                      <m:t>𝟕𝟓</m:t>
                    </m:r>
                  </m:oMath>
                </m:oMathPara>
              </a14:m>
              <a:endParaRPr lang="he-IL" sz="1100" b="1"/>
            </a:p>
            <a:p>
              <a:pPr algn="r" rtl="1"/>
              <a:endParaRPr lang="en-US" sz="1100"/>
            </a:p>
          </xdr:txBody>
        </xdr:sp>
      </mc:Choice>
      <mc:Fallback xmlns="">
        <xdr:sp macro="" textlink="">
          <xdr:nvSpPr>
            <xdr:cNvPr id="2" name="TextBox 1">
              <a:extLst>
                <a:ext uri="{FF2B5EF4-FFF2-40B4-BE49-F238E27FC236}">
                  <a16:creationId xmlns:a16="http://schemas.microsoft.com/office/drawing/2014/main" id="{4F1B3C1C-DEE5-0E4E-91B7-4CB7E29B2509}"/>
                </a:ext>
              </a:extLst>
            </xdr:cNvPr>
            <xdr:cNvSpPr txBox="1"/>
          </xdr:nvSpPr>
          <xdr:spPr>
            <a:xfrm>
              <a:off x="13506500103" y="28321908"/>
              <a:ext cx="1673468" cy="4902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(1,000−0)/10∗9/12=</a:t>
              </a:r>
              <a:r>
                <a:rPr lang="he-IL" sz="1100" b="1" i="0">
                  <a:solidFill>
                    <a:srgbClr val="FF0000"/>
                  </a:solidFill>
                  <a:latin typeface="Cambria Math" panose="02040503050406030204" pitchFamily="18" charset="0"/>
                </a:rPr>
                <a:t>𝟕𝟓</a:t>
              </a:r>
              <a:endParaRPr lang="he-IL" sz="1100" b="1"/>
            </a:p>
            <a:p>
              <a:pPr algn="r" rtl="1"/>
              <a:endParaRPr lang="en-US" sz="1100"/>
            </a:p>
          </xdr:txBody>
        </xdr:sp>
      </mc:Fallback>
    </mc:AlternateContent>
    <xdr:clientData/>
  </xdr:oneCellAnchor>
  <xdr:twoCellAnchor>
    <xdr:from>
      <xdr:col>4</xdr:col>
      <xdr:colOff>272143</xdr:colOff>
      <xdr:row>468</xdr:row>
      <xdr:rowOff>12370</xdr:rowOff>
    </xdr:from>
    <xdr:to>
      <xdr:col>4</xdr:col>
      <xdr:colOff>342240</xdr:colOff>
      <xdr:row>469</xdr:row>
      <xdr:rowOff>53604</xdr:rowOff>
    </xdr:to>
    <xdr:sp macro="" textlink="">
      <xdr:nvSpPr>
        <xdr:cNvPr id="3" name="Down Arrow 2">
          <a:extLst>
            <a:ext uri="{FF2B5EF4-FFF2-40B4-BE49-F238E27FC236}">
              <a16:creationId xmlns:a16="http://schemas.microsoft.com/office/drawing/2014/main" id="{B1E7C3F1-E94F-4444-8C6A-4E34AE08FECC}"/>
            </a:ext>
          </a:extLst>
        </xdr:cNvPr>
        <xdr:cNvSpPr/>
      </xdr:nvSpPr>
      <xdr:spPr>
        <a:xfrm>
          <a:off x="13507839578" y="28636851"/>
          <a:ext cx="70097" cy="24327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editAs="oneCell">
    <xdr:from>
      <xdr:col>0</xdr:col>
      <xdr:colOff>125196</xdr:colOff>
      <xdr:row>499</xdr:row>
      <xdr:rowOff>110351</xdr:rowOff>
    </xdr:from>
    <xdr:to>
      <xdr:col>5</xdr:col>
      <xdr:colOff>589561</xdr:colOff>
      <xdr:row>505</xdr:row>
      <xdr:rowOff>22783</xdr:rowOff>
    </xdr:to>
    <xdr:pic>
      <xdr:nvPicPr>
        <xdr:cNvPr id="6" name="Picture 5">
          <a:extLst>
            <a:ext uri="{FF2B5EF4-FFF2-40B4-BE49-F238E27FC236}">
              <a16:creationId xmlns:a16="http://schemas.microsoft.com/office/drawing/2014/main" id="{EA0BA6EF-F6CA-8E47-813D-569D50821AAD}"/>
            </a:ext>
          </a:extLst>
        </xdr:cNvPr>
        <xdr:cNvPicPr>
          <a:picLocks noChangeAspect="1"/>
        </xdr:cNvPicPr>
      </xdr:nvPicPr>
      <xdr:blipFill>
        <a:blip xmlns:r="http://schemas.openxmlformats.org/officeDocument/2006/relationships" r:embed="rId1"/>
        <a:stretch>
          <a:fillRect/>
        </a:stretch>
      </xdr:blipFill>
      <xdr:spPr>
        <a:xfrm>
          <a:off x="13513383362" y="59610173"/>
          <a:ext cx="6202305" cy="1130857"/>
        </a:xfrm>
        <a:prstGeom prst="rect">
          <a:avLst/>
        </a:prstGeom>
      </xdr:spPr>
    </xdr:pic>
    <xdr:clientData/>
  </xdr:twoCellAnchor>
  <xdr:twoCellAnchor>
    <xdr:from>
      <xdr:col>1</xdr:col>
      <xdr:colOff>346363</xdr:colOff>
      <xdr:row>508</xdr:row>
      <xdr:rowOff>197922</xdr:rowOff>
    </xdr:from>
    <xdr:to>
      <xdr:col>1</xdr:col>
      <xdr:colOff>358734</xdr:colOff>
      <xdr:row>516</xdr:row>
      <xdr:rowOff>32987</xdr:rowOff>
    </xdr:to>
    <xdr:cxnSp macro="">
      <xdr:nvCxnSpPr>
        <xdr:cNvPr id="8" name="Straight Arrow Connector 7">
          <a:extLst>
            <a:ext uri="{FF2B5EF4-FFF2-40B4-BE49-F238E27FC236}">
              <a16:creationId xmlns:a16="http://schemas.microsoft.com/office/drawing/2014/main" id="{D17A6CAF-1E1F-8146-B657-AF9098C530A5}"/>
            </a:ext>
          </a:extLst>
        </xdr:cNvPr>
        <xdr:cNvCxnSpPr/>
      </xdr:nvCxnSpPr>
      <xdr:spPr>
        <a:xfrm>
          <a:off x="13510297110" y="25400000"/>
          <a:ext cx="12371" cy="65561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753146</xdr:colOff>
      <xdr:row>508</xdr:row>
      <xdr:rowOff>159951</xdr:rowOff>
    </xdr:from>
    <xdr:to>
      <xdr:col>5</xdr:col>
      <xdr:colOff>439768</xdr:colOff>
      <xdr:row>509</xdr:row>
      <xdr:rowOff>73360</xdr:rowOff>
    </xdr:to>
    <xdr:sp macro="" textlink="">
      <xdr:nvSpPr>
        <xdr:cNvPr id="10" name="Left Brace 9">
          <a:extLst>
            <a:ext uri="{FF2B5EF4-FFF2-40B4-BE49-F238E27FC236}">
              <a16:creationId xmlns:a16="http://schemas.microsoft.com/office/drawing/2014/main" id="{E35B7F81-CEC8-2347-A220-2E418C745AC6}"/>
            </a:ext>
          </a:extLst>
        </xdr:cNvPr>
        <xdr:cNvSpPr/>
      </xdr:nvSpPr>
      <xdr:spPr>
        <a:xfrm rot="16200000">
          <a:off x="13506170241" y="25280880"/>
          <a:ext cx="129485" cy="51124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xdr:from>
      <xdr:col>4</xdr:col>
      <xdr:colOff>37108</xdr:colOff>
      <xdr:row>508</xdr:row>
      <xdr:rowOff>189675</xdr:rowOff>
    </xdr:from>
    <xdr:to>
      <xdr:col>4</xdr:col>
      <xdr:colOff>622629</xdr:colOff>
      <xdr:row>509</xdr:row>
      <xdr:rowOff>82467</xdr:rowOff>
    </xdr:to>
    <xdr:sp macro="" textlink="">
      <xdr:nvSpPr>
        <xdr:cNvPr id="11" name="Left Brace 10">
          <a:extLst>
            <a:ext uri="{FF2B5EF4-FFF2-40B4-BE49-F238E27FC236}">
              <a16:creationId xmlns:a16="http://schemas.microsoft.com/office/drawing/2014/main" id="{5056FDD4-31A5-1B40-A0E4-E7E0D39E2EC1}"/>
            </a:ext>
          </a:extLst>
        </xdr:cNvPr>
        <xdr:cNvSpPr/>
      </xdr:nvSpPr>
      <xdr:spPr>
        <a:xfrm rot="16200000">
          <a:off x="13507798346" y="25152596"/>
          <a:ext cx="107208" cy="585521"/>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xdr:from>
      <xdr:col>5</xdr:col>
      <xdr:colOff>721590</xdr:colOff>
      <xdr:row>508</xdr:row>
      <xdr:rowOff>193799</xdr:rowOff>
    </xdr:from>
    <xdr:to>
      <xdr:col>5</xdr:col>
      <xdr:colOff>725714</xdr:colOff>
      <xdr:row>511</xdr:row>
      <xdr:rowOff>181429</xdr:rowOff>
    </xdr:to>
    <xdr:cxnSp macro="">
      <xdr:nvCxnSpPr>
        <xdr:cNvPr id="12" name="Straight Arrow Connector 11">
          <a:extLst>
            <a:ext uri="{FF2B5EF4-FFF2-40B4-BE49-F238E27FC236}">
              <a16:creationId xmlns:a16="http://schemas.microsoft.com/office/drawing/2014/main" id="{A018978F-A3AB-5A41-B219-7FD20350AAB5}"/>
            </a:ext>
          </a:extLst>
        </xdr:cNvPr>
        <xdr:cNvCxnSpPr/>
      </xdr:nvCxnSpPr>
      <xdr:spPr>
        <a:xfrm>
          <a:off x="13506631428" y="25395877"/>
          <a:ext cx="4124" cy="60613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5645</xdr:colOff>
      <xdr:row>305</xdr:row>
      <xdr:rowOff>146756</xdr:rowOff>
    </xdr:from>
    <xdr:to>
      <xdr:col>8</xdr:col>
      <xdr:colOff>152399</xdr:colOff>
      <xdr:row>312</xdr:row>
      <xdr:rowOff>90311</xdr:rowOff>
    </xdr:to>
    <xdr:sp macro="" textlink="">
      <xdr:nvSpPr>
        <xdr:cNvPr id="13" name="Left Brace 12">
          <a:extLst>
            <a:ext uri="{FF2B5EF4-FFF2-40B4-BE49-F238E27FC236}">
              <a16:creationId xmlns:a16="http://schemas.microsoft.com/office/drawing/2014/main" id="{608ABC69-A5EB-E647-BDB3-AC729EB6AE4E}"/>
            </a:ext>
          </a:extLst>
        </xdr:cNvPr>
        <xdr:cNvSpPr/>
      </xdr:nvSpPr>
      <xdr:spPr>
        <a:xfrm>
          <a:off x="13495127246" y="2810934"/>
          <a:ext cx="146754" cy="1411110"/>
        </a:xfrm>
        <a:prstGeom prst="lef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r" rtl="1"/>
          <a:endParaRPr lang="en-US" sz="1100"/>
        </a:p>
      </xdr:txBody>
    </xdr:sp>
    <xdr:clientData/>
  </xdr:twoCellAnchor>
  <xdr:oneCellAnchor>
    <xdr:from>
      <xdr:col>1</xdr:col>
      <xdr:colOff>784579</xdr:colOff>
      <xdr:row>555</xdr:row>
      <xdr:rowOff>56444</xdr:rowOff>
    </xdr:from>
    <xdr:ext cx="3252023" cy="318036"/>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FD012127-DAD0-504E-B525-2F276B573BFE}"/>
                </a:ext>
              </a:extLst>
            </xdr:cNvPr>
            <xdr:cNvSpPr txBox="1"/>
          </xdr:nvSpPr>
          <xdr:spPr>
            <a:xfrm>
              <a:off x="13497011665" y="49676755"/>
              <a:ext cx="3252023"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𝐷</m:t>
                    </m:r>
                    <m:r>
                      <a:rPr lang="he-IL" sz="1100" b="0" i="1">
                        <a:latin typeface="Cambria Math" panose="02040503050406030204" pitchFamily="18" charset="0"/>
                      </a:rPr>
                      <m:t>(2020)</m:t>
                    </m:r>
                    <m:r>
                      <a:rPr lang="en-US" sz="1100" b="0" i="1">
                        <a:latin typeface="Cambria Math" panose="02040503050406030204" pitchFamily="18" charset="0"/>
                      </a:rPr>
                      <m:t>=</m:t>
                    </m:r>
                    <m:f>
                      <m:fPr>
                        <m:ctrlPr>
                          <a:rPr lang="en-US" sz="1100" b="0" i="1">
                            <a:latin typeface="Cambria Math" panose="02040503050406030204" pitchFamily="18" charset="0"/>
                          </a:rPr>
                        </m:ctrlPr>
                      </m:fPr>
                      <m:num>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0</m:t>
                            </m:r>
                          </m:sub>
                        </m:sSub>
                        <m:r>
                          <a:rPr lang="en-US" sz="1100" b="0" i="1">
                            <a:latin typeface="Cambria Math" panose="02040503050406030204" pitchFamily="18" charset="0"/>
                          </a:rPr>
                          <m:t>−</m:t>
                        </m:r>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𝐺</m:t>
                            </m:r>
                          </m:sub>
                        </m:sSub>
                      </m:num>
                      <m:den>
                        <m:r>
                          <a:rPr lang="en-US" sz="1100" b="0" i="1">
                            <a:latin typeface="Cambria Math" panose="02040503050406030204" pitchFamily="18" charset="0"/>
                          </a:rPr>
                          <m:t>𝑛</m:t>
                        </m:r>
                      </m:den>
                    </m:f>
                    <m:r>
                      <a:rPr lang="he-IL" sz="1100" b="0" i="1">
                        <a:latin typeface="Cambria Math" panose="02040503050406030204" pitchFamily="18" charset="0"/>
                      </a:rPr>
                      <m:t>=</m:t>
                    </m:r>
                    <m:f>
                      <m:fPr>
                        <m:ctrlPr>
                          <a:rPr lang="he-IL" sz="1100" b="0" i="1">
                            <a:latin typeface="Cambria Math" panose="02040503050406030204" pitchFamily="18" charset="0"/>
                          </a:rPr>
                        </m:ctrlPr>
                      </m:fPr>
                      <m:num>
                        <m:r>
                          <a:rPr lang="he-IL" sz="1100" b="0" i="1">
                            <a:latin typeface="Cambria Math" panose="02040503050406030204" pitchFamily="18" charset="0"/>
                          </a:rPr>
                          <m:t>1,000−0</m:t>
                        </m:r>
                      </m:num>
                      <m:den>
                        <m:r>
                          <a:rPr lang="he-IL" sz="1100" b="0" i="1">
                            <a:latin typeface="Cambria Math" panose="02040503050406030204" pitchFamily="18" charset="0"/>
                          </a:rPr>
                          <m:t>10</m:t>
                        </m:r>
                      </m:den>
                    </m:f>
                    <m:r>
                      <a:rPr lang="he-IL" sz="1100" b="0" i="1">
                        <a:latin typeface="Cambria Math" panose="02040503050406030204" pitchFamily="18" charset="0"/>
                      </a:rPr>
                      <m:t>=100</m:t>
                    </m:r>
                  </m:oMath>
                </m:oMathPara>
              </a14:m>
              <a:endParaRPr lang="en-US" sz="1100"/>
            </a:p>
          </xdr:txBody>
        </xdr:sp>
      </mc:Choice>
      <mc:Fallback xmlns="">
        <xdr:sp macro="" textlink="">
          <xdr:nvSpPr>
            <xdr:cNvPr id="7" name="TextBox 6">
              <a:extLst>
                <a:ext uri="{FF2B5EF4-FFF2-40B4-BE49-F238E27FC236}">
                  <a16:creationId xmlns:a16="http://schemas.microsoft.com/office/drawing/2014/main" id="{FD012127-DAD0-504E-B525-2F276B573BFE}"/>
                </a:ext>
              </a:extLst>
            </xdr:cNvPr>
            <xdr:cNvSpPr txBox="1"/>
          </xdr:nvSpPr>
          <xdr:spPr>
            <a:xfrm>
              <a:off x="13497011665" y="49676755"/>
              <a:ext cx="3252023"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𝐷</a:t>
              </a:r>
              <a:r>
                <a:rPr lang="he-IL" sz="1100" b="0" i="0">
                  <a:latin typeface="Cambria Math" panose="02040503050406030204" pitchFamily="18" charset="0"/>
                </a:rPr>
                <a:t>(2020)</a:t>
              </a:r>
              <a:r>
                <a:rPr lang="en-US" sz="1100" b="0" i="0">
                  <a:latin typeface="Cambria Math" panose="02040503050406030204" pitchFamily="18" charset="0"/>
                </a:rPr>
                <a:t>=(𝐼_0−𝐼_𝐺)/𝑛</a:t>
              </a:r>
              <a:r>
                <a:rPr lang="he-IL" sz="1100" b="0" i="0">
                  <a:latin typeface="Cambria Math" panose="02040503050406030204" pitchFamily="18" charset="0"/>
                </a:rPr>
                <a:t>=(1,000−0)/10=100</a:t>
              </a:r>
              <a:endParaRPr lang="en-US" sz="1100"/>
            </a:p>
          </xdr:txBody>
        </xdr:sp>
      </mc:Fallback>
    </mc:AlternateContent>
    <xdr:clientData/>
  </xdr:oneCellAnchor>
  <xdr:oneCellAnchor>
    <xdr:from>
      <xdr:col>1</xdr:col>
      <xdr:colOff>299155</xdr:colOff>
      <xdr:row>558</xdr:row>
      <xdr:rowOff>16933</xdr:rowOff>
    </xdr:from>
    <xdr:ext cx="279400" cy="172227"/>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19D0CBB4-6ED1-6B44-9DF1-3FC5C6648457}"/>
                </a:ext>
              </a:extLst>
            </xdr:cNvPr>
            <xdr:cNvSpPr txBox="1"/>
          </xdr:nvSpPr>
          <xdr:spPr>
            <a:xfrm flipH="1">
              <a:off x="13500469712" y="50246844"/>
              <a:ext cx="2794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0</m:t>
                        </m:r>
                      </m:sub>
                    </m:sSub>
                  </m:oMath>
                </m:oMathPara>
              </a14:m>
              <a:endParaRPr lang="en-US" sz="1100"/>
            </a:p>
          </xdr:txBody>
        </xdr:sp>
      </mc:Choice>
      <mc:Fallback xmlns="">
        <xdr:sp macro="" textlink="">
          <xdr:nvSpPr>
            <xdr:cNvPr id="9" name="TextBox 8">
              <a:extLst>
                <a:ext uri="{FF2B5EF4-FFF2-40B4-BE49-F238E27FC236}">
                  <a16:creationId xmlns:a16="http://schemas.microsoft.com/office/drawing/2014/main" id="{19D0CBB4-6ED1-6B44-9DF1-3FC5C6648457}"/>
                </a:ext>
              </a:extLst>
            </xdr:cNvPr>
            <xdr:cNvSpPr txBox="1"/>
          </xdr:nvSpPr>
          <xdr:spPr>
            <a:xfrm flipH="1">
              <a:off x="13500469712" y="50246844"/>
              <a:ext cx="2794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𝐼_0</a:t>
              </a:r>
              <a:endParaRPr lang="en-US" sz="1100"/>
            </a:p>
          </xdr:txBody>
        </xdr:sp>
      </mc:Fallback>
    </mc:AlternateContent>
    <xdr:clientData/>
  </xdr:oneCellAnchor>
  <xdr:oneCellAnchor>
    <xdr:from>
      <xdr:col>1</xdr:col>
      <xdr:colOff>282222</xdr:colOff>
      <xdr:row>559</xdr:row>
      <xdr:rowOff>11288</xdr:rowOff>
    </xdr:from>
    <xdr:ext cx="279400" cy="172227"/>
    <mc:AlternateContent xmlns:mc="http://schemas.openxmlformats.org/markup-compatibility/2006" xmlns:a14="http://schemas.microsoft.com/office/drawing/2010/main">
      <mc:Choice Requires="a14">
        <xdr:sp macro="" textlink="">
          <xdr:nvSpPr>
            <xdr:cNvPr id="14" name="TextBox 13">
              <a:extLst>
                <a:ext uri="{FF2B5EF4-FFF2-40B4-BE49-F238E27FC236}">
                  <a16:creationId xmlns:a16="http://schemas.microsoft.com/office/drawing/2014/main" id="{8F85A33D-57E4-4145-919B-E432E72C26FD}"/>
                </a:ext>
              </a:extLst>
            </xdr:cNvPr>
            <xdr:cNvSpPr txBox="1"/>
          </xdr:nvSpPr>
          <xdr:spPr>
            <a:xfrm flipH="1">
              <a:off x="13500486645" y="50444399"/>
              <a:ext cx="2794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sSub>
                      <m:sSubPr>
                        <m:ctrlPr>
                          <a:rPr lang="en-US" sz="1100" b="0" i="1">
                            <a:latin typeface="Cambria Math" panose="02040503050406030204" pitchFamily="18" charset="0"/>
                          </a:rPr>
                        </m:ctrlPr>
                      </m:sSubPr>
                      <m:e>
                        <m:r>
                          <a:rPr lang="en-US" sz="1100" b="0" i="1">
                            <a:latin typeface="Cambria Math" panose="02040503050406030204" pitchFamily="18" charset="0"/>
                          </a:rPr>
                          <m:t>𝐼</m:t>
                        </m:r>
                      </m:e>
                      <m:sub>
                        <m:r>
                          <a:rPr lang="en-US" sz="1100" b="0" i="1">
                            <a:latin typeface="Cambria Math" panose="02040503050406030204" pitchFamily="18" charset="0"/>
                          </a:rPr>
                          <m:t>𝐺</m:t>
                        </m:r>
                      </m:sub>
                    </m:sSub>
                  </m:oMath>
                </m:oMathPara>
              </a14:m>
              <a:endParaRPr lang="en-US" sz="1100"/>
            </a:p>
          </xdr:txBody>
        </xdr:sp>
      </mc:Choice>
      <mc:Fallback xmlns="">
        <xdr:sp macro="" textlink="">
          <xdr:nvSpPr>
            <xdr:cNvPr id="14" name="TextBox 13">
              <a:extLst>
                <a:ext uri="{FF2B5EF4-FFF2-40B4-BE49-F238E27FC236}">
                  <a16:creationId xmlns:a16="http://schemas.microsoft.com/office/drawing/2014/main" id="{8F85A33D-57E4-4145-919B-E432E72C26FD}"/>
                </a:ext>
              </a:extLst>
            </xdr:cNvPr>
            <xdr:cNvSpPr txBox="1"/>
          </xdr:nvSpPr>
          <xdr:spPr>
            <a:xfrm flipH="1">
              <a:off x="13500486645" y="50444399"/>
              <a:ext cx="2794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𝐼_𝐺</a:t>
              </a:r>
              <a:endParaRPr lang="en-US" sz="1100"/>
            </a:p>
          </xdr:txBody>
        </xdr:sp>
      </mc:Fallback>
    </mc:AlternateContent>
    <xdr:clientData/>
  </xdr:oneCellAnchor>
  <xdr:oneCellAnchor>
    <xdr:from>
      <xdr:col>1</xdr:col>
      <xdr:colOff>270933</xdr:colOff>
      <xdr:row>559</xdr:row>
      <xdr:rowOff>191910</xdr:rowOff>
    </xdr:from>
    <xdr:ext cx="279400" cy="172227"/>
    <mc:AlternateContent xmlns:mc="http://schemas.openxmlformats.org/markup-compatibility/2006" xmlns:a14="http://schemas.microsoft.com/office/drawing/2010/main">
      <mc:Choice Requires="a14">
        <xdr:sp macro="" textlink="">
          <xdr:nvSpPr>
            <xdr:cNvPr id="15" name="TextBox 14">
              <a:extLst>
                <a:ext uri="{FF2B5EF4-FFF2-40B4-BE49-F238E27FC236}">
                  <a16:creationId xmlns:a16="http://schemas.microsoft.com/office/drawing/2014/main" id="{5C534353-EE35-7241-805D-B077FC836DB9}"/>
                </a:ext>
              </a:extLst>
            </xdr:cNvPr>
            <xdr:cNvSpPr txBox="1"/>
          </xdr:nvSpPr>
          <xdr:spPr>
            <a:xfrm flipH="1">
              <a:off x="13500497934" y="50625021"/>
              <a:ext cx="2794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𝑛</m:t>
                    </m:r>
                  </m:oMath>
                </m:oMathPara>
              </a14:m>
              <a:endParaRPr lang="en-US" sz="1100"/>
            </a:p>
          </xdr:txBody>
        </xdr:sp>
      </mc:Choice>
      <mc:Fallback xmlns="">
        <xdr:sp macro="" textlink="">
          <xdr:nvSpPr>
            <xdr:cNvPr id="15" name="TextBox 14">
              <a:extLst>
                <a:ext uri="{FF2B5EF4-FFF2-40B4-BE49-F238E27FC236}">
                  <a16:creationId xmlns:a16="http://schemas.microsoft.com/office/drawing/2014/main" id="{5C534353-EE35-7241-805D-B077FC836DB9}"/>
                </a:ext>
              </a:extLst>
            </xdr:cNvPr>
            <xdr:cNvSpPr txBox="1"/>
          </xdr:nvSpPr>
          <xdr:spPr>
            <a:xfrm flipH="1">
              <a:off x="13500497934" y="50625021"/>
              <a:ext cx="2794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𝑛</a:t>
              </a:r>
              <a:endParaRPr lang="en-US" sz="1100"/>
            </a:p>
          </xdr:txBody>
        </xdr:sp>
      </mc:Fallback>
    </mc:AlternateContent>
    <xdr:clientData/>
  </xdr:oneCellAnchor>
  <xdr:twoCellAnchor>
    <xdr:from>
      <xdr:col>2</xdr:col>
      <xdr:colOff>282222</xdr:colOff>
      <xdr:row>584</xdr:row>
      <xdr:rowOff>73378</xdr:rowOff>
    </xdr:from>
    <xdr:to>
      <xdr:col>2</xdr:col>
      <xdr:colOff>451556</xdr:colOff>
      <xdr:row>585</xdr:row>
      <xdr:rowOff>90311</xdr:rowOff>
    </xdr:to>
    <xdr:sp macro="" textlink="">
      <xdr:nvSpPr>
        <xdr:cNvPr id="16" name="Down Arrow 15">
          <a:extLst>
            <a:ext uri="{FF2B5EF4-FFF2-40B4-BE49-F238E27FC236}">
              <a16:creationId xmlns:a16="http://schemas.microsoft.com/office/drawing/2014/main" id="{71DDB550-DDCB-734E-A633-549A1314E97F}"/>
            </a:ext>
          </a:extLst>
        </xdr:cNvPr>
        <xdr:cNvSpPr/>
      </xdr:nvSpPr>
      <xdr:spPr>
        <a:xfrm>
          <a:off x="13499772622" y="54813200"/>
          <a:ext cx="169334" cy="22013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5</xdr:col>
      <xdr:colOff>310445</xdr:colOff>
      <xdr:row>584</xdr:row>
      <xdr:rowOff>62088</xdr:rowOff>
    </xdr:from>
    <xdr:to>
      <xdr:col>5</xdr:col>
      <xdr:colOff>479779</xdr:colOff>
      <xdr:row>585</xdr:row>
      <xdr:rowOff>79021</xdr:rowOff>
    </xdr:to>
    <xdr:sp macro="" textlink="">
      <xdr:nvSpPr>
        <xdr:cNvPr id="17" name="Down Arrow 16">
          <a:extLst>
            <a:ext uri="{FF2B5EF4-FFF2-40B4-BE49-F238E27FC236}">
              <a16:creationId xmlns:a16="http://schemas.microsoft.com/office/drawing/2014/main" id="{081FE012-917A-F444-AF46-9EED0F560CFC}"/>
            </a:ext>
          </a:extLst>
        </xdr:cNvPr>
        <xdr:cNvSpPr/>
      </xdr:nvSpPr>
      <xdr:spPr>
        <a:xfrm>
          <a:off x="13497272133" y="54801910"/>
          <a:ext cx="169334" cy="22013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5</xdr:col>
      <xdr:colOff>321734</xdr:colOff>
      <xdr:row>589</xdr:row>
      <xdr:rowOff>62088</xdr:rowOff>
    </xdr:from>
    <xdr:to>
      <xdr:col>5</xdr:col>
      <xdr:colOff>491068</xdr:colOff>
      <xdr:row>590</xdr:row>
      <xdr:rowOff>79021</xdr:rowOff>
    </xdr:to>
    <xdr:sp macro="" textlink="">
      <xdr:nvSpPr>
        <xdr:cNvPr id="18" name="Down Arrow 17">
          <a:extLst>
            <a:ext uri="{FF2B5EF4-FFF2-40B4-BE49-F238E27FC236}">
              <a16:creationId xmlns:a16="http://schemas.microsoft.com/office/drawing/2014/main" id="{8C609EFA-7C85-D441-91F3-5FBED3205C8C}"/>
            </a:ext>
          </a:extLst>
        </xdr:cNvPr>
        <xdr:cNvSpPr/>
      </xdr:nvSpPr>
      <xdr:spPr>
        <a:xfrm>
          <a:off x="13497260844" y="55817910"/>
          <a:ext cx="169334" cy="22013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254000</xdr:colOff>
      <xdr:row>591</xdr:row>
      <xdr:rowOff>135467</xdr:rowOff>
    </xdr:from>
    <xdr:to>
      <xdr:col>3</xdr:col>
      <xdr:colOff>434622</xdr:colOff>
      <xdr:row>599</xdr:row>
      <xdr:rowOff>186267</xdr:rowOff>
    </xdr:to>
    <xdr:sp macro="" textlink="">
      <xdr:nvSpPr>
        <xdr:cNvPr id="19" name="Rectangle 18">
          <a:extLst>
            <a:ext uri="{FF2B5EF4-FFF2-40B4-BE49-F238E27FC236}">
              <a16:creationId xmlns:a16="http://schemas.microsoft.com/office/drawing/2014/main" id="{7DCC7A58-3B12-E946-AD11-2B2C77A46D8A}"/>
            </a:ext>
          </a:extLst>
        </xdr:cNvPr>
        <xdr:cNvSpPr/>
      </xdr:nvSpPr>
      <xdr:spPr>
        <a:xfrm>
          <a:off x="13498965467" y="56297689"/>
          <a:ext cx="1828800" cy="1676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latin typeface="David" panose="020E0502060401010101" pitchFamily="34" charset="-79"/>
              <a:cs typeface="David" panose="020E0502060401010101" pitchFamily="34" charset="-79"/>
            </a:rPr>
            <a:t>הסבר זה מובא לנוחות הקורא/ת </a:t>
          </a:r>
          <a:r>
            <a:rPr lang="he-IL" sz="1100" b="1">
              <a:latin typeface="David" panose="020E0502060401010101" pitchFamily="34" charset="-79"/>
              <a:cs typeface="David" panose="020E0502060401010101" pitchFamily="34" charset="-79"/>
            </a:rPr>
            <a:t>ואין צורך לציינו במסגרת פתרון שאלת מסה. </a:t>
          </a:r>
        </a:p>
        <a:p>
          <a:pPr algn="r" rtl="1"/>
          <a:endParaRPr lang="he-IL" sz="1100">
            <a:latin typeface="David" panose="020E0502060401010101" pitchFamily="34" charset="-79"/>
            <a:cs typeface="David" panose="020E0502060401010101" pitchFamily="34" charset="-79"/>
          </a:endParaRPr>
        </a:p>
        <a:p>
          <a:pPr algn="r" rtl="1"/>
          <a:r>
            <a:rPr lang="he-IL" sz="1100">
              <a:latin typeface="David" panose="020E0502060401010101" pitchFamily="34" charset="-79"/>
              <a:cs typeface="David" panose="020E0502060401010101" pitchFamily="34" charset="-79"/>
            </a:rPr>
            <a:t>זהו רק הסבר שיעזור לכם להבין מה תעשו. </a:t>
          </a:r>
        </a:p>
        <a:p>
          <a:pPr algn="r" rtl="1"/>
          <a:endParaRPr lang="he-IL" sz="1100">
            <a:latin typeface="David" panose="020E0502060401010101" pitchFamily="34" charset="-79"/>
            <a:cs typeface="David" panose="020E0502060401010101" pitchFamily="34" charset="-79"/>
          </a:endParaRPr>
        </a:p>
        <a:p>
          <a:pPr algn="r" rtl="1"/>
          <a:r>
            <a:rPr lang="he-IL" sz="1100">
              <a:latin typeface="David" panose="020E0502060401010101" pitchFamily="34" charset="-79"/>
              <a:cs typeface="David" panose="020E0502060401010101" pitchFamily="34" charset="-79"/>
            </a:rPr>
            <a:t>בהיבט סיווגי, כל שעליכם לדעת הוא שיבוץ מלאי הסגירה כנכס מצד אחד בסימן חיובי, וכהוצאה מצד שני בסימן שלילי</a:t>
          </a:r>
          <a:r>
            <a:rPr lang="he-IL" sz="1100" baseline="0">
              <a:latin typeface="David" panose="020E0502060401010101" pitchFamily="34" charset="-79"/>
              <a:cs typeface="David" panose="020E0502060401010101" pitchFamily="34" charset="-79"/>
            </a:rPr>
            <a:t> </a:t>
          </a:r>
          <a:endParaRPr lang="en-US" sz="1100">
            <a:latin typeface="David" panose="020E0502060401010101" pitchFamily="34" charset="-79"/>
            <a:cs typeface="David" panose="020E0502060401010101" pitchFamily="34" charset="-79"/>
          </a:endParaRPr>
        </a:p>
      </xdr:txBody>
    </xdr:sp>
    <xdr:clientData/>
  </xdr:twoCellAnchor>
  <xdr:twoCellAnchor>
    <xdr:from>
      <xdr:col>3</xdr:col>
      <xdr:colOff>19050</xdr:colOff>
      <xdr:row>732</xdr:row>
      <xdr:rowOff>69850</xdr:rowOff>
    </xdr:from>
    <xdr:to>
      <xdr:col>3</xdr:col>
      <xdr:colOff>755650</xdr:colOff>
      <xdr:row>732</xdr:row>
      <xdr:rowOff>190500</xdr:rowOff>
    </xdr:to>
    <xdr:sp macro="" textlink="">
      <xdr:nvSpPr>
        <xdr:cNvPr id="20" name="Left Arrow 19">
          <a:extLst>
            <a:ext uri="{FF2B5EF4-FFF2-40B4-BE49-F238E27FC236}">
              <a16:creationId xmlns:a16="http://schemas.microsoft.com/office/drawing/2014/main" id="{8F2DCA0B-D2EB-1448-9582-5DE12374149E}"/>
            </a:ext>
          </a:extLst>
        </xdr:cNvPr>
        <xdr:cNvSpPr/>
      </xdr:nvSpPr>
      <xdr:spPr>
        <a:xfrm>
          <a:off x="13521759850" y="84194650"/>
          <a:ext cx="736600" cy="120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7</xdr:col>
      <xdr:colOff>31750</xdr:colOff>
      <xdr:row>759</xdr:row>
      <xdr:rowOff>6350</xdr:rowOff>
    </xdr:from>
    <xdr:to>
      <xdr:col>7</xdr:col>
      <xdr:colOff>88900</xdr:colOff>
      <xdr:row>760</xdr:row>
      <xdr:rowOff>76200</xdr:rowOff>
    </xdr:to>
    <xdr:cxnSp macro="">
      <xdr:nvCxnSpPr>
        <xdr:cNvPr id="22" name="Straight Arrow Connector 21">
          <a:extLst>
            <a:ext uri="{FF2B5EF4-FFF2-40B4-BE49-F238E27FC236}">
              <a16:creationId xmlns:a16="http://schemas.microsoft.com/office/drawing/2014/main" id="{424582BF-257E-4C46-AEF3-1C8434992E9F}"/>
            </a:ext>
          </a:extLst>
        </xdr:cNvPr>
        <xdr:cNvCxnSpPr/>
      </xdr:nvCxnSpPr>
      <xdr:spPr>
        <a:xfrm flipH="1">
          <a:off x="13519124600" y="89655650"/>
          <a:ext cx="57150" cy="273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311150</xdr:colOff>
      <xdr:row>758</xdr:row>
      <xdr:rowOff>196850</xdr:rowOff>
    </xdr:from>
    <xdr:to>
      <xdr:col>6</xdr:col>
      <xdr:colOff>463550</xdr:colOff>
      <xdr:row>760</xdr:row>
      <xdr:rowOff>101600</xdr:rowOff>
    </xdr:to>
    <xdr:cxnSp macro="">
      <xdr:nvCxnSpPr>
        <xdr:cNvPr id="23" name="Straight Arrow Connector 22">
          <a:extLst>
            <a:ext uri="{FF2B5EF4-FFF2-40B4-BE49-F238E27FC236}">
              <a16:creationId xmlns:a16="http://schemas.microsoft.com/office/drawing/2014/main" id="{7CBFC14C-C110-4C4B-AE85-93EF1892F4B6}"/>
            </a:ext>
          </a:extLst>
        </xdr:cNvPr>
        <xdr:cNvCxnSpPr/>
      </xdr:nvCxnSpPr>
      <xdr:spPr>
        <a:xfrm>
          <a:off x="13519575450" y="89642950"/>
          <a:ext cx="152400" cy="311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628650</xdr:colOff>
      <xdr:row>759</xdr:row>
      <xdr:rowOff>0</xdr:rowOff>
    </xdr:from>
    <xdr:to>
      <xdr:col>6</xdr:col>
      <xdr:colOff>107950</xdr:colOff>
      <xdr:row>760</xdr:row>
      <xdr:rowOff>63500</xdr:rowOff>
    </xdr:to>
    <xdr:cxnSp macro="">
      <xdr:nvCxnSpPr>
        <xdr:cNvPr id="25" name="Straight Arrow Connector 24">
          <a:extLst>
            <a:ext uri="{FF2B5EF4-FFF2-40B4-BE49-F238E27FC236}">
              <a16:creationId xmlns:a16="http://schemas.microsoft.com/office/drawing/2014/main" id="{BC0A0593-D7B0-6C42-B941-00CCD9144C9F}"/>
            </a:ext>
          </a:extLst>
        </xdr:cNvPr>
        <xdr:cNvCxnSpPr/>
      </xdr:nvCxnSpPr>
      <xdr:spPr>
        <a:xfrm>
          <a:off x="13519931050" y="89649300"/>
          <a:ext cx="304800" cy="266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495300</xdr:colOff>
      <xdr:row>758</xdr:row>
      <xdr:rowOff>196850</xdr:rowOff>
    </xdr:from>
    <xdr:to>
      <xdr:col>5</xdr:col>
      <xdr:colOff>628650</xdr:colOff>
      <xdr:row>760</xdr:row>
      <xdr:rowOff>101600</xdr:rowOff>
    </xdr:to>
    <xdr:cxnSp macro="">
      <xdr:nvCxnSpPr>
        <xdr:cNvPr id="27" name="Straight Arrow Connector 26">
          <a:extLst>
            <a:ext uri="{FF2B5EF4-FFF2-40B4-BE49-F238E27FC236}">
              <a16:creationId xmlns:a16="http://schemas.microsoft.com/office/drawing/2014/main" id="{28BB0681-7672-5A4F-9CA6-51CE23D02594}"/>
            </a:ext>
          </a:extLst>
        </xdr:cNvPr>
        <xdr:cNvCxnSpPr/>
      </xdr:nvCxnSpPr>
      <xdr:spPr>
        <a:xfrm>
          <a:off x="13520235850" y="89642950"/>
          <a:ext cx="958850" cy="311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263896</xdr:colOff>
      <xdr:row>433</xdr:row>
      <xdr:rowOff>202045</xdr:rowOff>
    </xdr:from>
    <xdr:to>
      <xdr:col>4</xdr:col>
      <xdr:colOff>268019</xdr:colOff>
      <xdr:row>435</xdr:row>
      <xdr:rowOff>12370</xdr:rowOff>
    </xdr:to>
    <xdr:cxnSp macro="">
      <xdr:nvCxnSpPr>
        <xdr:cNvPr id="4" name="Straight Arrow Connector 3">
          <a:extLst>
            <a:ext uri="{FF2B5EF4-FFF2-40B4-BE49-F238E27FC236}">
              <a16:creationId xmlns:a16="http://schemas.microsoft.com/office/drawing/2014/main" id="{4D4A096A-65D6-C046-A0B3-A1524DE50F22}"/>
            </a:ext>
          </a:extLst>
        </xdr:cNvPr>
        <xdr:cNvCxnSpPr/>
      </xdr:nvCxnSpPr>
      <xdr:spPr>
        <a:xfrm>
          <a:off x="13521421981" y="19671145"/>
          <a:ext cx="4123" cy="2421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373036</xdr:colOff>
      <xdr:row>872</xdr:row>
      <xdr:rowOff>29340</xdr:rowOff>
    </xdr:from>
    <xdr:to>
      <xdr:col>6</xdr:col>
      <xdr:colOff>377228</xdr:colOff>
      <xdr:row>873</xdr:row>
      <xdr:rowOff>104786</xdr:rowOff>
    </xdr:to>
    <xdr:cxnSp macro="">
      <xdr:nvCxnSpPr>
        <xdr:cNvPr id="24" name="Straight Arrow Connector 23">
          <a:extLst>
            <a:ext uri="{FF2B5EF4-FFF2-40B4-BE49-F238E27FC236}">
              <a16:creationId xmlns:a16="http://schemas.microsoft.com/office/drawing/2014/main" id="{15BA19D5-B172-4A98-7BCC-F6A56AC181A6}"/>
            </a:ext>
          </a:extLst>
        </xdr:cNvPr>
        <xdr:cNvCxnSpPr/>
      </xdr:nvCxnSpPr>
      <xdr:spPr>
        <a:xfrm>
          <a:off x="13523094125" y="129120858"/>
          <a:ext cx="4192" cy="27663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192805</xdr:colOff>
      <xdr:row>872</xdr:row>
      <xdr:rowOff>50297</xdr:rowOff>
    </xdr:from>
    <xdr:to>
      <xdr:col>5</xdr:col>
      <xdr:colOff>196997</xdr:colOff>
      <xdr:row>873</xdr:row>
      <xdr:rowOff>125743</xdr:rowOff>
    </xdr:to>
    <xdr:cxnSp macro="">
      <xdr:nvCxnSpPr>
        <xdr:cNvPr id="26" name="Straight Arrow Connector 25">
          <a:extLst>
            <a:ext uri="{FF2B5EF4-FFF2-40B4-BE49-F238E27FC236}">
              <a16:creationId xmlns:a16="http://schemas.microsoft.com/office/drawing/2014/main" id="{93C3AD37-DE6F-AD72-EE86-8CDDF0ABB778}"/>
            </a:ext>
          </a:extLst>
        </xdr:cNvPr>
        <xdr:cNvCxnSpPr/>
      </xdr:nvCxnSpPr>
      <xdr:spPr>
        <a:xfrm>
          <a:off x="13524100066" y="129141815"/>
          <a:ext cx="4192" cy="27663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733498</xdr:colOff>
      <xdr:row>872</xdr:row>
      <xdr:rowOff>37722</xdr:rowOff>
    </xdr:from>
    <xdr:to>
      <xdr:col>3</xdr:col>
      <xdr:colOff>737690</xdr:colOff>
      <xdr:row>873</xdr:row>
      <xdr:rowOff>113168</xdr:rowOff>
    </xdr:to>
    <xdr:cxnSp macro="">
      <xdr:nvCxnSpPr>
        <xdr:cNvPr id="28" name="Straight Arrow Connector 27">
          <a:extLst>
            <a:ext uri="{FF2B5EF4-FFF2-40B4-BE49-F238E27FC236}">
              <a16:creationId xmlns:a16="http://schemas.microsoft.com/office/drawing/2014/main" id="{B367475A-E1E2-B7E0-A543-B598D491FE9E}"/>
            </a:ext>
          </a:extLst>
        </xdr:cNvPr>
        <xdr:cNvCxnSpPr/>
      </xdr:nvCxnSpPr>
      <xdr:spPr>
        <a:xfrm>
          <a:off x="13525210792" y="129129240"/>
          <a:ext cx="4192" cy="27663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410758</xdr:colOff>
      <xdr:row>872</xdr:row>
      <xdr:rowOff>8382</xdr:rowOff>
    </xdr:from>
    <xdr:to>
      <xdr:col>2</xdr:col>
      <xdr:colOff>414950</xdr:colOff>
      <xdr:row>873</xdr:row>
      <xdr:rowOff>83828</xdr:rowOff>
    </xdr:to>
    <xdr:cxnSp macro="">
      <xdr:nvCxnSpPr>
        <xdr:cNvPr id="29" name="Straight Arrow Connector 28">
          <a:extLst>
            <a:ext uri="{FF2B5EF4-FFF2-40B4-BE49-F238E27FC236}">
              <a16:creationId xmlns:a16="http://schemas.microsoft.com/office/drawing/2014/main" id="{F7759B39-F842-4B6A-5535-E54BDD5AC014}"/>
            </a:ext>
          </a:extLst>
        </xdr:cNvPr>
        <xdr:cNvCxnSpPr/>
      </xdr:nvCxnSpPr>
      <xdr:spPr>
        <a:xfrm>
          <a:off x="13526359241" y="129099900"/>
          <a:ext cx="4192" cy="27663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303865</xdr:colOff>
      <xdr:row>389</xdr:row>
      <xdr:rowOff>109080</xdr:rowOff>
    </xdr:from>
    <xdr:to>
      <xdr:col>6</xdr:col>
      <xdr:colOff>818098</xdr:colOff>
      <xdr:row>389</xdr:row>
      <xdr:rowOff>128558</xdr:rowOff>
    </xdr:to>
    <xdr:cxnSp macro="">
      <xdr:nvCxnSpPr>
        <xdr:cNvPr id="21" name="Straight Arrow Connector 20">
          <a:extLst>
            <a:ext uri="{FF2B5EF4-FFF2-40B4-BE49-F238E27FC236}">
              <a16:creationId xmlns:a16="http://schemas.microsoft.com/office/drawing/2014/main" id="{15943BB0-3E36-7896-F1A7-53A05E550478}"/>
            </a:ext>
          </a:extLst>
        </xdr:cNvPr>
        <xdr:cNvCxnSpPr/>
      </xdr:nvCxnSpPr>
      <xdr:spPr>
        <a:xfrm flipV="1">
          <a:off x="13525601288" y="25641534"/>
          <a:ext cx="7082393" cy="19478"/>
        </a:xfrm>
        <a:prstGeom prst="straightConnector1">
          <a:avLst/>
        </a:prstGeom>
        <a:ln w="19050" cap="flat" cmpd="sng" algn="ctr">
          <a:solidFill>
            <a:schemeClr val="dk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257116</xdr:colOff>
      <xdr:row>383</xdr:row>
      <xdr:rowOff>116870</xdr:rowOff>
    </xdr:from>
    <xdr:to>
      <xdr:col>5</xdr:col>
      <xdr:colOff>494755</xdr:colOff>
      <xdr:row>384</xdr:row>
      <xdr:rowOff>163618</xdr:rowOff>
    </xdr:to>
    <xdr:sp macro="" textlink="">
      <xdr:nvSpPr>
        <xdr:cNvPr id="30" name="Oval 29">
          <a:extLst>
            <a:ext uri="{FF2B5EF4-FFF2-40B4-BE49-F238E27FC236}">
              <a16:creationId xmlns:a16="http://schemas.microsoft.com/office/drawing/2014/main" id="{C19AFB1F-7C74-63E8-A5AE-156F9851290E}"/>
            </a:ext>
          </a:extLst>
        </xdr:cNvPr>
        <xdr:cNvSpPr/>
      </xdr:nvSpPr>
      <xdr:spPr>
        <a:xfrm>
          <a:off x="13526750521" y="24433864"/>
          <a:ext cx="237639" cy="249325"/>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1</a:t>
          </a:r>
          <a:endParaRPr lang="en-US" sz="1100"/>
        </a:p>
      </xdr:txBody>
    </xdr:sp>
    <xdr:clientData/>
  </xdr:twoCellAnchor>
  <xdr:twoCellAnchor>
    <xdr:from>
      <xdr:col>3</xdr:col>
      <xdr:colOff>292177</xdr:colOff>
      <xdr:row>383</xdr:row>
      <xdr:rowOff>116870</xdr:rowOff>
    </xdr:from>
    <xdr:to>
      <xdr:col>3</xdr:col>
      <xdr:colOff>529816</xdr:colOff>
      <xdr:row>384</xdr:row>
      <xdr:rowOff>163618</xdr:rowOff>
    </xdr:to>
    <xdr:sp macro="" textlink="">
      <xdr:nvSpPr>
        <xdr:cNvPr id="31" name="Oval 30">
          <a:extLst>
            <a:ext uri="{FF2B5EF4-FFF2-40B4-BE49-F238E27FC236}">
              <a16:creationId xmlns:a16="http://schemas.microsoft.com/office/drawing/2014/main" id="{C6C75A97-EB2C-A504-1686-1BA4884CA8BD}"/>
            </a:ext>
          </a:extLst>
        </xdr:cNvPr>
        <xdr:cNvSpPr/>
      </xdr:nvSpPr>
      <xdr:spPr>
        <a:xfrm>
          <a:off x="13528367239" y="24433864"/>
          <a:ext cx="237639" cy="249325"/>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2</a:t>
          </a:r>
          <a:endParaRPr lang="en-US" sz="1100"/>
        </a:p>
      </xdr:txBody>
    </xdr:sp>
    <xdr:clientData/>
  </xdr:twoCellAnchor>
  <xdr:twoCellAnchor>
    <xdr:from>
      <xdr:col>3</xdr:col>
      <xdr:colOff>327238</xdr:colOff>
      <xdr:row>389</xdr:row>
      <xdr:rowOff>124663</xdr:rowOff>
    </xdr:from>
    <xdr:to>
      <xdr:col>3</xdr:col>
      <xdr:colOff>486962</xdr:colOff>
      <xdr:row>391</xdr:row>
      <xdr:rowOff>85706</xdr:rowOff>
    </xdr:to>
    <xdr:sp macro="" textlink="">
      <xdr:nvSpPr>
        <xdr:cNvPr id="32" name="Down Arrow 31">
          <a:extLst>
            <a:ext uri="{FF2B5EF4-FFF2-40B4-BE49-F238E27FC236}">
              <a16:creationId xmlns:a16="http://schemas.microsoft.com/office/drawing/2014/main" id="{4DAFBF59-F71F-90CC-FC00-8282FC56438F}"/>
            </a:ext>
          </a:extLst>
        </xdr:cNvPr>
        <xdr:cNvSpPr/>
      </xdr:nvSpPr>
      <xdr:spPr>
        <a:xfrm>
          <a:off x="13528410093" y="25657117"/>
          <a:ext cx="159724" cy="366196"/>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0</xdr:col>
      <xdr:colOff>1121963</xdr:colOff>
      <xdr:row>383</xdr:row>
      <xdr:rowOff>62330</xdr:rowOff>
    </xdr:from>
    <xdr:to>
      <xdr:col>0</xdr:col>
      <xdr:colOff>1359602</xdr:colOff>
      <xdr:row>384</xdr:row>
      <xdr:rowOff>109078</xdr:rowOff>
    </xdr:to>
    <xdr:sp macro="" textlink="">
      <xdr:nvSpPr>
        <xdr:cNvPr id="33" name="Oval 32">
          <a:extLst>
            <a:ext uri="{FF2B5EF4-FFF2-40B4-BE49-F238E27FC236}">
              <a16:creationId xmlns:a16="http://schemas.microsoft.com/office/drawing/2014/main" id="{104270F1-6E99-FB64-33A7-DE998D3864B1}"/>
            </a:ext>
          </a:extLst>
        </xdr:cNvPr>
        <xdr:cNvSpPr/>
      </xdr:nvSpPr>
      <xdr:spPr>
        <a:xfrm>
          <a:off x="13531627944" y="24379324"/>
          <a:ext cx="237639" cy="249325"/>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4</a:t>
          </a:r>
          <a:endParaRPr lang="en-US" sz="1100"/>
        </a:p>
      </xdr:txBody>
    </xdr:sp>
    <xdr:clientData/>
  </xdr:twoCellAnchor>
  <xdr:twoCellAnchor>
    <xdr:from>
      <xdr:col>1</xdr:col>
      <xdr:colOff>311656</xdr:colOff>
      <xdr:row>383</xdr:row>
      <xdr:rowOff>74017</xdr:rowOff>
    </xdr:from>
    <xdr:to>
      <xdr:col>1</xdr:col>
      <xdr:colOff>549295</xdr:colOff>
      <xdr:row>384</xdr:row>
      <xdr:rowOff>120765</xdr:rowOff>
    </xdr:to>
    <xdr:sp macro="" textlink="">
      <xdr:nvSpPr>
        <xdr:cNvPr id="34" name="Oval 33">
          <a:extLst>
            <a:ext uri="{FF2B5EF4-FFF2-40B4-BE49-F238E27FC236}">
              <a16:creationId xmlns:a16="http://schemas.microsoft.com/office/drawing/2014/main" id="{C2C6923C-FF78-860F-7464-30E9BA551A77}"/>
            </a:ext>
          </a:extLst>
        </xdr:cNvPr>
        <xdr:cNvSpPr/>
      </xdr:nvSpPr>
      <xdr:spPr>
        <a:xfrm>
          <a:off x="13529999539" y="24391011"/>
          <a:ext cx="237639" cy="249325"/>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3</a:t>
          </a:r>
          <a:endParaRPr lang="en-US" sz="1100"/>
        </a:p>
      </xdr:txBody>
    </xdr:sp>
    <xdr:clientData/>
  </xdr:twoCellAnchor>
  <xdr:twoCellAnchor>
    <xdr:from>
      <xdr:col>1</xdr:col>
      <xdr:colOff>276594</xdr:colOff>
      <xdr:row>389</xdr:row>
      <xdr:rowOff>105185</xdr:rowOff>
    </xdr:from>
    <xdr:to>
      <xdr:col>1</xdr:col>
      <xdr:colOff>436318</xdr:colOff>
      <xdr:row>391</xdr:row>
      <xdr:rowOff>66228</xdr:rowOff>
    </xdr:to>
    <xdr:sp macro="" textlink="">
      <xdr:nvSpPr>
        <xdr:cNvPr id="35" name="Down Arrow 34">
          <a:extLst>
            <a:ext uri="{FF2B5EF4-FFF2-40B4-BE49-F238E27FC236}">
              <a16:creationId xmlns:a16="http://schemas.microsoft.com/office/drawing/2014/main" id="{3736326B-0FB3-94B4-64C9-5F3F9A9A1E02}"/>
            </a:ext>
          </a:extLst>
        </xdr:cNvPr>
        <xdr:cNvSpPr/>
      </xdr:nvSpPr>
      <xdr:spPr>
        <a:xfrm>
          <a:off x="13530112516" y="25637639"/>
          <a:ext cx="159724" cy="366196"/>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0</xdr:col>
      <xdr:colOff>1110275</xdr:colOff>
      <xdr:row>389</xdr:row>
      <xdr:rowOff>109080</xdr:rowOff>
    </xdr:from>
    <xdr:to>
      <xdr:col>0</xdr:col>
      <xdr:colOff>1269999</xdr:colOff>
      <xdr:row>391</xdr:row>
      <xdr:rowOff>70123</xdr:rowOff>
    </xdr:to>
    <xdr:sp macro="" textlink="">
      <xdr:nvSpPr>
        <xdr:cNvPr id="36" name="Down Arrow 35">
          <a:extLst>
            <a:ext uri="{FF2B5EF4-FFF2-40B4-BE49-F238E27FC236}">
              <a16:creationId xmlns:a16="http://schemas.microsoft.com/office/drawing/2014/main" id="{3571FCB7-7FA4-E588-C94A-9C591058C609}"/>
            </a:ext>
          </a:extLst>
        </xdr:cNvPr>
        <xdr:cNvSpPr/>
      </xdr:nvSpPr>
      <xdr:spPr>
        <a:xfrm>
          <a:off x="13531717547" y="25641534"/>
          <a:ext cx="159724" cy="366196"/>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editAs="oneCell">
    <xdr:from>
      <xdr:col>0</xdr:col>
      <xdr:colOff>685644</xdr:colOff>
      <xdr:row>391</xdr:row>
      <xdr:rowOff>115762</xdr:rowOff>
    </xdr:from>
    <xdr:to>
      <xdr:col>0</xdr:col>
      <xdr:colOff>1807607</xdr:colOff>
      <xdr:row>396</xdr:row>
      <xdr:rowOff>172659</xdr:rowOff>
    </xdr:to>
    <xdr:pic>
      <xdr:nvPicPr>
        <xdr:cNvPr id="37" name="Picture 36">
          <a:extLst>
            <a:ext uri="{FF2B5EF4-FFF2-40B4-BE49-F238E27FC236}">
              <a16:creationId xmlns:a16="http://schemas.microsoft.com/office/drawing/2014/main" id="{9F4F6594-F7A8-3AA1-1686-37342CC3A5F1}"/>
            </a:ext>
          </a:extLst>
        </xdr:cNvPr>
        <xdr:cNvPicPr>
          <a:picLocks noChangeAspect="1"/>
        </xdr:cNvPicPr>
      </xdr:nvPicPr>
      <xdr:blipFill>
        <a:blip xmlns:r="http://schemas.openxmlformats.org/officeDocument/2006/relationships" r:embed="rId2"/>
        <a:stretch>
          <a:fillRect/>
        </a:stretch>
      </xdr:blipFill>
      <xdr:spPr>
        <a:xfrm>
          <a:off x="13531179939" y="26053369"/>
          <a:ext cx="1121963" cy="1069779"/>
        </a:xfrm>
        <a:prstGeom prst="rect">
          <a:avLst/>
        </a:prstGeom>
      </xdr:spPr>
    </xdr:pic>
    <xdr:clientData/>
  </xdr:twoCellAnchor>
  <xdr:twoCellAnchor editAs="oneCell">
    <xdr:from>
      <xdr:col>0</xdr:col>
      <xdr:colOff>787565</xdr:colOff>
      <xdr:row>565</xdr:row>
      <xdr:rowOff>20617</xdr:rowOff>
    </xdr:from>
    <xdr:to>
      <xdr:col>0</xdr:col>
      <xdr:colOff>1531421</xdr:colOff>
      <xdr:row>566</xdr:row>
      <xdr:rowOff>49479</xdr:rowOff>
    </xdr:to>
    <xdr:pic>
      <xdr:nvPicPr>
        <xdr:cNvPr id="38" name="Picture 37">
          <a:extLst>
            <a:ext uri="{FF2B5EF4-FFF2-40B4-BE49-F238E27FC236}">
              <a16:creationId xmlns:a16="http://schemas.microsoft.com/office/drawing/2014/main" id="{0424A276-0B65-0668-870C-12706CBAB32E}"/>
            </a:ext>
          </a:extLst>
        </xdr:cNvPr>
        <xdr:cNvPicPr>
          <a:picLocks noChangeAspect="1"/>
        </xdr:cNvPicPr>
      </xdr:nvPicPr>
      <xdr:blipFill>
        <a:blip xmlns:r="http://schemas.openxmlformats.org/officeDocument/2006/relationships" r:embed="rId3"/>
        <a:stretch>
          <a:fillRect/>
        </a:stretch>
      </xdr:blipFill>
      <xdr:spPr>
        <a:xfrm>
          <a:off x="13511561339" y="67293507"/>
          <a:ext cx="743856" cy="676233"/>
        </a:xfrm>
        <a:prstGeom prst="rect">
          <a:avLst/>
        </a:prstGeom>
      </xdr:spPr>
    </xdr:pic>
    <xdr:clientData/>
  </xdr:twoCellAnchor>
  <xdr:twoCellAnchor>
    <xdr:from>
      <xdr:col>0</xdr:col>
      <xdr:colOff>263896</xdr:colOff>
      <xdr:row>566</xdr:row>
      <xdr:rowOff>160812</xdr:rowOff>
    </xdr:from>
    <xdr:to>
      <xdr:col>0</xdr:col>
      <xdr:colOff>2234870</xdr:colOff>
      <xdr:row>573</xdr:row>
      <xdr:rowOff>20617</xdr:rowOff>
    </xdr:to>
    <xdr:sp macro="" textlink="">
      <xdr:nvSpPr>
        <xdr:cNvPr id="39" name="Rounded Rectangular Callout 38">
          <a:extLst>
            <a:ext uri="{FF2B5EF4-FFF2-40B4-BE49-F238E27FC236}">
              <a16:creationId xmlns:a16="http://schemas.microsoft.com/office/drawing/2014/main" id="{B742F30E-6C81-5178-A457-B208D90B9075}"/>
            </a:ext>
          </a:extLst>
        </xdr:cNvPr>
        <xdr:cNvSpPr/>
      </xdr:nvSpPr>
      <xdr:spPr>
        <a:xfrm>
          <a:off x="13510857890" y="68081072"/>
          <a:ext cx="1970974" cy="1286493"/>
        </a:xfrm>
        <a:prstGeom prst="wedgeRoundRectCallout">
          <a:avLst>
            <a:gd name="adj1" fmla="val -3469"/>
            <a:gd name="adj2" fmla="val -75962"/>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טיפ מהדוקטור! כאשר רושמים הוצאות פחת עבור השנה - מעדכנים</a:t>
          </a:r>
          <a:r>
            <a:rPr lang="he-IL" sz="1100" baseline="0"/>
            <a:t> (מגדילים) את הפחת הנצבר בהתאם, וכן דואגים לפתוח שורה חדשה שתקרא הוצאות פחת. </a:t>
          </a:r>
          <a:endParaRPr lang="en-US" sz="1100"/>
        </a:p>
      </xdr:txBody>
    </xdr:sp>
    <xdr:clientData/>
  </xdr:twoCellAnchor>
  <xdr:twoCellAnchor editAs="oneCell">
    <xdr:from>
      <xdr:col>0</xdr:col>
      <xdr:colOff>272142</xdr:colOff>
      <xdr:row>609</xdr:row>
      <xdr:rowOff>16494</xdr:rowOff>
    </xdr:from>
    <xdr:to>
      <xdr:col>0</xdr:col>
      <xdr:colOff>1173842</xdr:colOff>
      <xdr:row>613</xdr:row>
      <xdr:rowOff>186213</xdr:rowOff>
    </xdr:to>
    <xdr:pic>
      <xdr:nvPicPr>
        <xdr:cNvPr id="40" name="Picture 39">
          <a:extLst>
            <a:ext uri="{FF2B5EF4-FFF2-40B4-BE49-F238E27FC236}">
              <a16:creationId xmlns:a16="http://schemas.microsoft.com/office/drawing/2014/main" id="{AF8A3B69-E872-AFBC-FF39-3EC75D3E28AB}"/>
            </a:ext>
          </a:extLst>
        </xdr:cNvPr>
        <xdr:cNvPicPr>
          <a:picLocks noChangeAspect="1"/>
        </xdr:cNvPicPr>
      </xdr:nvPicPr>
      <xdr:blipFill>
        <a:blip xmlns:r="http://schemas.openxmlformats.org/officeDocument/2006/relationships" r:embed="rId4"/>
        <a:stretch>
          <a:fillRect/>
        </a:stretch>
      </xdr:blipFill>
      <xdr:spPr>
        <a:xfrm>
          <a:off x="13511918918" y="76637078"/>
          <a:ext cx="901700" cy="977900"/>
        </a:xfrm>
        <a:prstGeom prst="rect">
          <a:avLst/>
        </a:prstGeom>
      </xdr:spPr>
    </xdr:pic>
    <xdr:clientData/>
  </xdr:twoCellAnchor>
  <xdr:twoCellAnchor>
    <xdr:from>
      <xdr:col>0</xdr:col>
      <xdr:colOff>931884</xdr:colOff>
      <xdr:row>605</xdr:row>
      <xdr:rowOff>197922</xdr:rowOff>
    </xdr:from>
    <xdr:to>
      <xdr:col>0</xdr:col>
      <xdr:colOff>2288475</xdr:colOff>
      <xdr:row>610</xdr:row>
      <xdr:rowOff>53605</xdr:rowOff>
    </xdr:to>
    <xdr:sp macro="" textlink="">
      <xdr:nvSpPr>
        <xdr:cNvPr id="41" name="Rounded Rectangular Callout 40">
          <a:extLst>
            <a:ext uri="{FF2B5EF4-FFF2-40B4-BE49-F238E27FC236}">
              <a16:creationId xmlns:a16="http://schemas.microsoft.com/office/drawing/2014/main" id="{FC267E48-06C4-CFBE-B841-83F1D3356EDF}"/>
            </a:ext>
          </a:extLst>
        </xdr:cNvPr>
        <xdr:cNvSpPr/>
      </xdr:nvSpPr>
      <xdr:spPr>
        <a:xfrm>
          <a:off x="13510804285" y="76010325"/>
          <a:ext cx="1356591" cy="865910"/>
        </a:xfrm>
        <a:prstGeom prst="wedgeRoundRectCallout">
          <a:avLst>
            <a:gd name="adj1" fmla="val 52307"/>
            <a:gd name="adj2" fmla="val 5501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במסגרת העדכון: מלאי הפתיחה יורד מהנכסים והשימוש בו מהווה הוצאה</a:t>
          </a:r>
          <a:endParaRPr lang="en-US" sz="1100"/>
        </a:p>
      </xdr:txBody>
    </xdr:sp>
    <xdr:clientData/>
  </xdr:twoCellAnchor>
  <xdr:twoCellAnchor>
    <xdr:from>
      <xdr:col>0</xdr:col>
      <xdr:colOff>948377</xdr:colOff>
      <xdr:row>611</xdr:row>
      <xdr:rowOff>185552</xdr:rowOff>
    </xdr:from>
    <xdr:to>
      <xdr:col>0</xdr:col>
      <xdr:colOff>2304968</xdr:colOff>
      <xdr:row>616</xdr:row>
      <xdr:rowOff>185551</xdr:rowOff>
    </xdr:to>
    <xdr:sp macro="" textlink="">
      <xdr:nvSpPr>
        <xdr:cNvPr id="42" name="Rounded Rectangular Callout 41">
          <a:extLst>
            <a:ext uri="{FF2B5EF4-FFF2-40B4-BE49-F238E27FC236}">
              <a16:creationId xmlns:a16="http://schemas.microsoft.com/office/drawing/2014/main" id="{9E4DAD4B-FBFD-FC6A-F8C8-4386BE72652D}"/>
            </a:ext>
          </a:extLst>
        </xdr:cNvPr>
        <xdr:cNvSpPr/>
      </xdr:nvSpPr>
      <xdr:spPr>
        <a:xfrm>
          <a:off x="13510787792" y="77210227"/>
          <a:ext cx="1356591" cy="1010227"/>
        </a:xfrm>
        <a:prstGeom prst="wedgeRoundRectCallout">
          <a:avLst>
            <a:gd name="adj1" fmla="val 53523"/>
            <a:gd name="adj2" fmla="val -44031"/>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r>
            <a:rPr lang="he-IL" sz="1100"/>
            <a:t>במסגרת העדכון: מלאי הסגירה הוא נכס לתום השנה, וקיומו מקטין את עלות המכר</a:t>
          </a:r>
          <a:endParaRPr lang="en-US" sz="1100"/>
        </a:p>
      </xdr:txBody>
    </xdr:sp>
    <xdr:clientData/>
  </xdr:twoCellAnchor>
  <xdr:twoCellAnchor>
    <xdr:from>
      <xdr:col>1</xdr:col>
      <xdr:colOff>712541</xdr:colOff>
      <xdr:row>731</xdr:row>
      <xdr:rowOff>104785</xdr:rowOff>
    </xdr:from>
    <xdr:to>
      <xdr:col>2</xdr:col>
      <xdr:colOff>155082</xdr:colOff>
      <xdr:row>732</xdr:row>
      <xdr:rowOff>138316</xdr:rowOff>
    </xdr:to>
    <xdr:sp macro="" textlink="">
      <xdr:nvSpPr>
        <xdr:cNvPr id="43" name="Oval 42">
          <a:extLst>
            <a:ext uri="{FF2B5EF4-FFF2-40B4-BE49-F238E27FC236}">
              <a16:creationId xmlns:a16="http://schemas.microsoft.com/office/drawing/2014/main" id="{6D5167F8-F3B3-DD96-96C5-B1D73E138CA6}"/>
            </a:ext>
          </a:extLst>
        </xdr:cNvPr>
        <xdr:cNvSpPr/>
      </xdr:nvSpPr>
      <xdr:spPr>
        <a:xfrm>
          <a:off x="13526619109" y="104852541"/>
          <a:ext cx="268251" cy="251485"/>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א</a:t>
          </a:r>
          <a:endParaRPr lang="en-US" sz="1100"/>
        </a:p>
      </xdr:txBody>
    </xdr:sp>
    <xdr:clientData/>
  </xdr:twoCellAnchor>
  <xdr:twoCellAnchor>
    <xdr:from>
      <xdr:col>5</xdr:col>
      <xdr:colOff>666435</xdr:colOff>
      <xdr:row>731</xdr:row>
      <xdr:rowOff>104785</xdr:rowOff>
    </xdr:from>
    <xdr:to>
      <xdr:col>6</xdr:col>
      <xdr:colOff>108976</xdr:colOff>
      <xdr:row>732</xdr:row>
      <xdr:rowOff>138316</xdr:rowOff>
    </xdr:to>
    <xdr:sp macro="" textlink="">
      <xdr:nvSpPr>
        <xdr:cNvPr id="44" name="Oval 43">
          <a:extLst>
            <a:ext uri="{FF2B5EF4-FFF2-40B4-BE49-F238E27FC236}">
              <a16:creationId xmlns:a16="http://schemas.microsoft.com/office/drawing/2014/main" id="{72B5BC78-FE80-4061-AA15-37389267ED89}"/>
            </a:ext>
          </a:extLst>
        </xdr:cNvPr>
        <xdr:cNvSpPr/>
      </xdr:nvSpPr>
      <xdr:spPr>
        <a:xfrm>
          <a:off x="13523362377" y="104852541"/>
          <a:ext cx="268251" cy="251485"/>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ב</a:t>
          </a:r>
          <a:endParaRPr lang="en-US" sz="1100"/>
        </a:p>
      </xdr:txBody>
    </xdr:sp>
    <xdr:clientData/>
  </xdr:twoCellAnchor>
  <xdr:twoCellAnchor>
    <xdr:from>
      <xdr:col>5</xdr:col>
      <xdr:colOff>658053</xdr:colOff>
      <xdr:row>728</xdr:row>
      <xdr:rowOff>205380</xdr:rowOff>
    </xdr:from>
    <xdr:to>
      <xdr:col>6</xdr:col>
      <xdr:colOff>100594</xdr:colOff>
      <xdr:row>730</xdr:row>
      <xdr:rowOff>20957</xdr:rowOff>
    </xdr:to>
    <xdr:sp macro="" textlink="">
      <xdr:nvSpPr>
        <xdr:cNvPr id="45" name="Oval 44">
          <a:extLst>
            <a:ext uri="{FF2B5EF4-FFF2-40B4-BE49-F238E27FC236}">
              <a16:creationId xmlns:a16="http://schemas.microsoft.com/office/drawing/2014/main" id="{C3212F0F-7548-EB58-886E-FD954539CC40}"/>
            </a:ext>
          </a:extLst>
        </xdr:cNvPr>
        <xdr:cNvSpPr/>
      </xdr:nvSpPr>
      <xdr:spPr>
        <a:xfrm>
          <a:off x="13523370759" y="104316040"/>
          <a:ext cx="268251" cy="251485"/>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1100"/>
            <a:t>ג</a:t>
          </a:r>
          <a:endParaRPr lang="en-US" sz="1100"/>
        </a:p>
      </xdr:txBody>
    </xdr:sp>
    <xdr:clientData/>
  </xdr:twoCellAnchor>
  <xdr:twoCellAnchor editAs="oneCell">
    <xdr:from>
      <xdr:col>0</xdr:col>
      <xdr:colOff>131003</xdr:colOff>
      <xdr:row>27</xdr:row>
      <xdr:rowOff>84956</xdr:rowOff>
    </xdr:from>
    <xdr:to>
      <xdr:col>5</xdr:col>
      <xdr:colOff>200144</xdr:colOff>
      <xdr:row>41</xdr:row>
      <xdr:rowOff>4095</xdr:rowOff>
    </xdr:to>
    <xdr:pic>
      <xdr:nvPicPr>
        <xdr:cNvPr id="5" name="Picture 4">
          <a:extLst>
            <a:ext uri="{FF2B5EF4-FFF2-40B4-BE49-F238E27FC236}">
              <a16:creationId xmlns:a16="http://schemas.microsoft.com/office/drawing/2014/main" id="{BA2DF803-CDB6-721D-3E09-5D74E2950D43}"/>
            </a:ext>
          </a:extLst>
        </xdr:cNvPr>
        <xdr:cNvPicPr>
          <a:picLocks noChangeAspect="1"/>
        </xdr:cNvPicPr>
      </xdr:nvPicPr>
      <xdr:blipFill>
        <a:blip xmlns:r="http://schemas.openxmlformats.org/officeDocument/2006/relationships" r:embed="rId5"/>
        <a:stretch>
          <a:fillRect/>
        </a:stretch>
      </xdr:blipFill>
      <xdr:spPr>
        <a:xfrm>
          <a:off x="13529604756" y="5630744"/>
          <a:ext cx="5811433" cy="2772090"/>
        </a:xfrm>
        <a:prstGeom prst="rect">
          <a:avLst/>
        </a:prstGeom>
      </xdr:spPr>
    </xdr:pic>
    <xdr:clientData/>
  </xdr:twoCellAnchor>
  <xdr:twoCellAnchor>
    <xdr:from>
      <xdr:col>6</xdr:col>
      <xdr:colOff>78829</xdr:colOff>
      <xdr:row>76</xdr:row>
      <xdr:rowOff>205828</xdr:rowOff>
    </xdr:from>
    <xdr:to>
      <xdr:col>6</xdr:col>
      <xdr:colOff>779518</xdr:colOff>
      <xdr:row>76</xdr:row>
      <xdr:rowOff>210207</xdr:rowOff>
    </xdr:to>
    <xdr:cxnSp macro="">
      <xdr:nvCxnSpPr>
        <xdr:cNvPr id="49" name="Straight Arrow Connector 48">
          <a:extLst>
            <a:ext uri="{FF2B5EF4-FFF2-40B4-BE49-F238E27FC236}">
              <a16:creationId xmlns:a16="http://schemas.microsoft.com/office/drawing/2014/main" id="{8C2DBADE-2382-1C09-B2EC-1116F7413B06}"/>
            </a:ext>
          </a:extLst>
        </xdr:cNvPr>
        <xdr:cNvCxnSpPr/>
      </xdr:nvCxnSpPr>
      <xdr:spPr>
        <a:xfrm flipH="1" flipV="1">
          <a:off x="13555121655" y="16645759"/>
          <a:ext cx="700689" cy="437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102</xdr:row>
      <xdr:rowOff>83209</xdr:rowOff>
    </xdr:from>
    <xdr:to>
      <xdr:col>6</xdr:col>
      <xdr:colOff>123342</xdr:colOff>
      <xdr:row>118</xdr:row>
      <xdr:rowOff>87586</xdr:rowOff>
    </xdr:to>
    <xdr:pic>
      <xdr:nvPicPr>
        <xdr:cNvPr id="52" name="Picture 51">
          <a:extLst>
            <a:ext uri="{FF2B5EF4-FFF2-40B4-BE49-F238E27FC236}">
              <a16:creationId xmlns:a16="http://schemas.microsoft.com/office/drawing/2014/main" id="{9759E1A7-C313-BAF2-23E2-C953CAE4BE21}"/>
            </a:ext>
          </a:extLst>
        </xdr:cNvPr>
        <xdr:cNvPicPr>
          <a:picLocks noChangeAspect="1"/>
        </xdr:cNvPicPr>
      </xdr:nvPicPr>
      <xdr:blipFill>
        <a:blip xmlns:r="http://schemas.openxmlformats.org/officeDocument/2006/relationships" r:embed="rId6"/>
        <a:stretch>
          <a:fillRect/>
        </a:stretch>
      </xdr:blipFill>
      <xdr:spPr>
        <a:xfrm>
          <a:off x="13555777831" y="21182726"/>
          <a:ext cx="6701066" cy="3227550"/>
        </a:xfrm>
        <a:prstGeom prst="rect">
          <a:avLst/>
        </a:prstGeom>
      </xdr:spPr>
    </xdr:pic>
    <xdr:clientData/>
  </xdr:twoCellAnchor>
  <xdr:twoCellAnchor>
    <xdr:from>
      <xdr:col>5</xdr:col>
      <xdr:colOff>670497</xdr:colOff>
      <xdr:row>139</xdr:row>
      <xdr:rowOff>209039</xdr:rowOff>
    </xdr:from>
    <xdr:to>
      <xdr:col>6</xdr:col>
      <xdr:colOff>141987</xdr:colOff>
      <xdr:row>144</xdr:row>
      <xdr:rowOff>0</xdr:rowOff>
    </xdr:to>
    <xdr:sp macro="" textlink="">
      <xdr:nvSpPr>
        <xdr:cNvPr id="53" name="Left Brace 52">
          <a:extLst>
            <a:ext uri="{FF2B5EF4-FFF2-40B4-BE49-F238E27FC236}">
              <a16:creationId xmlns:a16="http://schemas.microsoft.com/office/drawing/2014/main" id="{4EC173CD-54D6-B5AF-1B4E-2820F33E7B29}"/>
            </a:ext>
          </a:extLst>
        </xdr:cNvPr>
        <xdr:cNvSpPr/>
      </xdr:nvSpPr>
      <xdr:spPr>
        <a:xfrm>
          <a:off x="13500518075" y="31430530"/>
          <a:ext cx="295807" cy="840091"/>
        </a:xfrm>
        <a:prstGeom prst="leftBrace">
          <a:avLst>
            <a:gd name="adj1" fmla="val 8333"/>
            <a:gd name="adj2" fmla="val 35841"/>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xdr:from>
      <xdr:col>5</xdr:col>
      <xdr:colOff>686273</xdr:colOff>
      <xdr:row>144</xdr:row>
      <xdr:rowOff>11836</xdr:rowOff>
    </xdr:from>
    <xdr:to>
      <xdr:col>6</xdr:col>
      <xdr:colOff>157763</xdr:colOff>
      <xdr:row>145</xdr:row>
      <xdr:rowOff>212983</xdr:rowOff>
    </xdr:to>
    <xdr:sp macro="" textlink="">
      <xdr:nvSpPr>
        <xdr:cNvPr id="54" name="Left Brace 53">
          <a:extLst>
            <a:ext uri="{FF2B5EF4-FFF2-40B4-BE49-F238E27FC236}">
              <a16:creationId xmlns:a16="http://schemas.microsoft.com/office/drawing/2014/main" id="{CE8D256B-9552-6E7B-CC5A-F6CE6BF9FF3B}"/>
            </a:ext>
          </a:extLst>
        </xdr:cNvPr>
        <xdr:cNvSpPr/>
      </xdr:nvSpPr>
      <xdr:spPr>
        <a:xfrm>
          <a:off x="13500502299" y="32282457"/>
          <a:ext cx="295807" cy="406240"/>
        </a:xfrm>
        <a:prstGeom prst="leftBrace">
          <a:avLst>
            <a:gd name="adj1" fmla="val 8333"/>
            <a:gd name="adj2" fmla="val 26132"/>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xdr:from>
      <xdr:col>5</xdr:col>
      <xdr:colOff>698106</xdr:colOff>
      <xdr:row>145</xdr:row>
      <xdr:rowOff>209041</xdr:rowOff>
    </xdr:from>
    <xdr:to>
      <xdr:col>6</xdr:col>
      <xdr:colOff>173540</xdr:colOff>
      <xdr:row>147</xdr:row>
      <xdr:rowOff>15777</xdr:rowOff>
    </xdr:to>
    <xdr:sp macro="" textlink="">
      <xdr:nvSpPr>
        <xdr:cNvPr id="55" name="Left Brace 54">
          <a:extLst>
            <a:ext uri="{FF2B5EF4-FFF2-40B4-BE49-F238E27FC236}">
              <a16:creationId xmlns:a16="http://schemas.microsoft.com/office/drawing/2014/main" id="{6E055D24-24B5-58E3-6CCE-20F418C1D7BE}"/>
            </a:ext>
          </a:extLst>
        </xdr:cNvPr>
        <xdr:cNvSpPr/>
      </xdr:nvSpPr>
      <xdr:spPr>
        <a:xfrm>
          <a:off x="13500486522" y="32684755"/>
          <a:ext cx="299751" cy="240587"/>
        </a:xfrm>
        <a:prstGeom prst="leftBrace">
          <a:avLst>
            <a:gd name="adj1" fmla="val 8333"/>
            <a:gd name="adj2" fmla="val 45804"/>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xdr:from>
      <xdr:col>5</xdr:col>
      <xdr:colOff>705993</xdr:colOff>
      <xdr:row>146</xdr:row>
      <xdr:rowOff>212984</xdr:rowOff>
    </xdr:from>
    <xdr:to>
      <xdr:col>6</xdr:col>
      <xdr:colOff>181427</xdr:colOff>
      <xdr:row>148</xdr:row>
      <xdr:rowOff>19720</xdr:rowOff>
    </xdr:to>
    <xdr:sp macro="" textlink="">
      <xdr:nvSpPr>
        <xdr:cNvPr id="56" name="Left Brace 55">
          <a:extLst>
            <a:ext uri="{FF2B5EF4-FFF2-40B4-BE49-F238E27FC236}">
              <a16:creationId xmlns:a16="http://schemas.microsoft.com/office/drawing/2014/main" id="{61B426EA-C420-C84A-8B35-8C88214EB22E}"/>
            </a:ext>
          </a:extLst>
        </xdr:cNvPr>
        <xdr:cNvSpPr/>
      </xdr:nvSpPr>
      <xdr:spPr>
        <a:xfrm>
          <a:off x="13500478635" y="32905624"/>
          <a:ext cx="299751" cy="240587"/>
        </a:xfrm>
        <a:prstGeom prst="leftBrace">
          <a:avLst>
            <a:gd name="adj1" fmla="val 8333"/>
            <a:gd name="adj2" fmla="val 45804"/>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xdr:from>
      <xdr:col>5</xdr:col>
      <xdr:colOff>702049</xdr:colOff>
      <xdr:row>148</xdr:row>
      <xdr:rowOff>39444</xdr:rowOff>
    </xdr:from>
    <xdr:to>
      <xdr:col>6</xdr:col>
      <xdr:colOff>169594</xdr:colOff>
      <xdr:row>150</xdr:row>
      <xdr:rowOff>19721</xdr:rowOff>
    </xdr:to>
    <xdr:sp macro="" textlink="">
      <xdr:nvSpPr>
        <xdr:cNvPr id="57" name="Left Brace 56">
          <a:extLst>
            <a:ext uri="{FF2B5EF4-FFF2-40B4-BE49-F238E27FC236}">
              <a16:creationId xmlns:a16="http://schemas.microsoft.com/office/drawing/2014/main" id="{94BC5A04-B79F-97B5-99CB-65F1454CD5B5}"/>
            </a:ext>
          </a:extLst>
        </xdr:cNvPr>
        <xdr:cNvSpPr/>
      </xdr:nvSpPr>
      <xdr:spPr>
        <a:xfrm>
          <a:off x="13500490468" y="33165935"/>
          <a:ext cx="291862" cy="402295"/>
        </a:xfrm>
        <a:prstGeom prst="leftBrace">
          <a:avLst>
            <a:gd name="adj1" fmla="val 8333"/>
            <a:gd name="adj2" fmla="val 45804"/>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editAs="oneCell">
    <xdr:from>
      <xdr:col>8</xdr:col>
      <xdr:colOff>361843</xdr:colOff>
      <xdr:row>2</xdr:row>
      <xdr:rowOff>145447</xdr:rowOff>
    </xdr:from>
    <xdr:to>
      <xdr:col>17</xdr:col>
      <xdr:colOff>695165</xdr:colOff>
      <xdr:row>28</xdr:row>
      <xdr:rowOff>65962</xdr:rowOff>
    </xdr:to>
    <xdr:pic>
      <xdr:nvPicPr>
        <xdr:cNvPr id="63" name="Picture 62">
          <a:extLst>
            <a:ext uri="{FF2B5EF4-FFF2-40B4-BE49-F238E27FC236}">
              <a16:creationId xmlns:a16="http://schemas.microsoft.com/office/drawing/2014/main" id="{0BA07183-881F-2194-D46C-6FB6C26382A3}"/>
            </a:ext>
          </a:extLst>
        </xdr:cNvPr>
        <xdr:cNvPicPr>
          <a:picLocks noChangeAspect="1"/>
        </xdr:cNvPicPr>
      </xdr:nvPicPr>
      <xdr:blipFill>
        <a:blip xmlns:r="http://schemas.openxmlformats.org/officeDocument/2006/relationships" r:embed="rId7"/>
        <a:stretch>
          <a:fillRect/>
        </a:stretch>
      </xdr:blipFill>
      <xdr:spPr>
        <a:xfrm>
          <a:off x="13527681846" y="549860"/>
          <a:ext cx="7772400" cy="5234649"/>
        </a:xfrm>
        <a:prstGeom prst="rect">
          <a:avLst/>
        </a:prstGeom>
      </xdr:spPr>
    </xdr:pic>
    <xdr:clientData/>
  </xdr:twoCellAnchor>
  <xdr:twoCellAnchor editAs="oneCell">
    <xdr:from>
      <xdr:col>0</xdr:col>
      <xdr:colOff>0</xdr:colOff>
      <xdr:row>266</xdr:row>
      <xdr:rowOff>0</xdr:rowOff>
    </xdr:from>
    <xdr:to>
      <xdr:col>7</xdr:col>
      <xdr:colOff>381000</xdr:colOff>
      <xdr:row>298</xdr:row>
      <xdr:rowOff>8411</xdr:rowOff>
    </xdr:to>
    <xdr:pic>
      <xdr:nvPicPr>
        <xdr:cNvPr id="64" name="Picture 63">
          <a:extLst>
            <a:ext uri="{FF2B5EF4-FFF2-40B4-BE49-F238E27FC236}">
              <a16:creationId xmlns:a16="http://schemas.microsoft.com/office/drawing/2014/main" id="{133829FD-997C-CC63-464F-62A829E805BF}"/>
            </a:ext>
          </a:extLst>
        </xdr:cNvPr>
        <xdr:cNvPicPr>
          <a:picLocks noChangeAspect="1"/>
        </xdr:cNvPicPr>
      </xdr:nvPicPr>
      <xdr:blipFill>
        <a:blip xmlns:r="http://schemas.openxmlformats.org/officeDocument/2006/relationships" r:embed="rId8"/>
        <a:stretch>
          <a:fillRect/>
        </a:stretch>
      </xdr:blipFill>
      <xdr:spPr>
        <a:xfrm>
          <a:off x="13518832500" y="77762100"/>
          <a:ext cx="7772400" cy="651081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77</xdr:row>
      <xdr:rowOff>23495</xdr:rowOff>
    </xdr:from>
    <xdr:to>
      <xdr:col>5</xdr:col>
      <xdr:colOff>581799</xdr:colOff>
      <xdr:row>82</xdr:row>
      <xdr:rowOff>177467</xdr:rowOff>
    </xdr:to>
    <xdr:pic>
      <xdr:nvPicPr>
        <xdr:cNvPr id="2" name="Picture 1">
          <a:extLst>
            <a:ext uri="{FF2B5EF4-FFF2-40B4-BE49-F238E27FC236}">
              <a16:creationId xmlns:a16="http://schemas.microsoft.com/office/drawing/2014/main" id="{D49D10F0-0014-0E02-3BB8-F8BE65A79023}"/>
            </a:ext>
          </a:extLst>
        </xdr:cNvPr>
        <xdr:cNvPicPr>
          <a:picLocks noChangeAspect="1"/>
        </xdr:cNvPicPr>
      </xdr:nvPicPr>
      <xdr:blipFill>
        <a:blip xmlns:r="http://schemas.openxmlformats.org/officeDocument/2006/relationships" r:embed="rId1"/>
        <a:stretch>
          <a:fillRect/>
        </a:stretch>
      </xdr:blipFill>
      <xdr:spPr>
        <a:xfrm>
          <a:off x="13533808201" y="15790351"/>
          <a:ext cx="6399397" cy="1179955"/>
        </a:xfrm>
        <a:prstGeom prst="rect">
          <a:avLst/>
        </a:prstGeom>
      </xdr:spPr>
    </xdr:pic>
    <xdr:clientData/>
  </xdr:twoCellAnchor>
  <xdr:twoCellAnchor editAs="oneCell">
    <xdr:from>
      <xdr:col>0</xdr:col>
      <xdr:colOff>0</xdr:colOff>
      <xdr:row>103</xdr:row>
      <xdr:rowOff>161703</xdr:rowOff>
    </xdr:from>
    <xdr:to>
      <xdr:col>5</xdr:col>
      <xdr:colOff>770873</xdr:colOff>
      <xdr:row>107</xdr:row>
      <xdr:rowOff>142</xdr:rowOff>
    </xdr:to>
    <xdr:pic>
      <xdr:nvPicPr>
        <xdr:cNvPr id="3" name="Picture 2">
          <a:extLst>
            <a:ext uri="{FF2B5EF4-FFF2-40B4-BE49-F238E27FC236}">
              <a16:creationId xmlns:a16="http://schemas.microsoft.com/office/drawing/2014/main" id="{4702D59F-CDE3-49CF-84EF-5BB481643C5D}"/>
            </a:ext>
          </a:extLst>
        </xdr:cNvPr>
        <xdr:cNvPicPr>
          <a:picLocks noChangeAspect="1"/>
        </xdr:cNvPicPr>
      </xdr:nvPicPr>
      <xdr:blipFill>
        <a:blip xmlns:r="http://schemas.openxmlformats.org/officeDocument/2006/relationships" r:embed="rId2"/>
        <a:stretch>
          <a:fillRect/>
        </a:stretch>
      </xdr:blipFill>
      <xdr:spPr>
        <a:xfrm>
          <a:off x="13548203532" y="21528595"/>
          <a:ext cx="6595711" cy="646505"/>
        </a:xfrm>
        <a:prstGeom prst="rect">
          <a:avLst/>
        </a:prstGeom>
      </xdr:spPr>
    </xdr:pic>
    <xdr:clientData/>
  </xdr:twoCellAnchor>
  <xdr:twoCellAnchor editAs="oneCell">
    <xdr:from>
      <xdr:col>0</xdr:col>
      <xdr:colOff>11093</xdr:colOff>
      <xdr:row>144</xdr:row>
      <xdr:rowOff>30744</xdr:rowOff>
    </xdr:from>
    <xdr:to>
      <xdr:col>5</xdr:col>
      <xdr:colOff>659958</xdr:colOff>
      <xdr:row>148</xdr:row>
      <xdr:rowOff>47802</xdr:rowOff>
    </xdr:to>
    <xdr:pic>
      <xdr:nvPicPr>
        <xdr:cNvPr id="4" name="Picture 3">
          <a:extLst>
            <a:ext uri="{FF2B5EF4-FFF2-40B4-BE49-F238E27FC236}">
              <a16:creationId xmlns:a16="http://schemas.microsoft.com/office/drawing/2014/main" id="{1AA8E865-65B7-E819-D14D-2DEFD62B263A}"/>
            </a:ext>
          </a:extLst>
        </xdr:cNvPr>
        <xdr:cNvPicPr>
          <a:picLocks noChangeAspect="1"/>
        </xdr:cNvPicPr>
      </xdr:nvPicPr>
      <xdr:blipFill>
        <a:blip xmlns:r="http://schemas.openxmlformats.org/officeDocument/2006/relationships" r:embed="rId3"/>
        <a:stretch>
          <a:fillRect/>
        </a:stretch>
      </xdr:blipFill>
      <xdr:spPr>
        <a:xfrm>
          <a:off x="13533730042" y="27149958"/>
          <a:ext cx="6466463" cy="837847"/>
        </a:xfrm>
        <a:prstGeom prst="rect">
          <a:avLst/>
        </a:prstGeom>
      </xdr:spPr>
    </xdr:pic>
    <xdr:clientData/>
  </xdr:twoCellAnchor>
  <xdr:twoCellAnchor>
    <xdr:from>
      <xdr:col>2</xdr:col>
      <xdr:colOff>343843</xdr:colOff>
      <xdr:row>166</xdr:row>
      <xdr:rowOff>110917</xdr:rowOff>
    </xdr:from>
    <xdr:to>
      <xdr:col>3</xdr:col>
      <xdr:colOff>0</xdr:colOff>
      <xdr:row>166</xdr:row>
      <xdr:rowOff>116463</xdr:rowOff>
    </xdr:to>
    <xdr:cxnSp macro="">
      <xdr:nvCxnSpPr>
        <xdr:cNvPr id="6" name="Straight Arrow Connector 5">
          <a:extLst>
            <a:ext uri="{FF2B5EF4-FFF2-40B4-BE49-F238E27FC236}">
              <a16:creationId xmlns:a16="http://schemas.microsoft.com/office/drawing/2014/main" id="{1FB3B3F9-875D-5433-322E-67EF68B53877}"/>
            </a:ext>
          </a:extLst>
        </xdr:cNvPr>
        <xdr:cNvCxnSpPr/>
      </xdr:nvCxnSpPr>
      <xdr:spPr>
        <a:xfrm flipH="1">
          <a:off x="13536142489" y="31345153"/>
          <a:ext cx="482489" cy="554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22183</xdr:colOff>
      <xdr:row>166</xdr:row>
      <xdr:rowOff>5545</xdr:rowOff>
    </xdr:from>
    <xdr:to>
      <xdr:col>6</xdr:col>
      <xdr:colOff>22183</xdr:colOff>
      <xdr:row>167</xdr:row>
      <xdr:rowOff>55459</xdr:rowOff>
    </xdr:to>
    <xdr:cxnSp macro="">
      <xdr:nvCxnSpPr>
        <xdr:cNvPr id="7" name="Straight Arrow Connector 6">
          <a:extLst>
            <a:ext uri="{FF2B5EF4-FFF2-40B4-BE49-F238E27FC236}">
              <a16:creationId xmlns:a16="http://schemas.microsoft.com/office/drawing/2014/main" id="{D22BE336-5568-8A60-0177-68D63917BD4E}"/>
            </a:ext>
          </a:extLst>
        </xdr:cNvPr>
        <xdr:cNvCxnSpPr/>
      </xdr:nvCxnSpPr>
      <xdr:spPr>
        <a:xfrm>
          <a:off x="13533641310" y="31239781"/>
          <a:ext cx="0" cy="25511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5547</xdr:colOff>
      <xdr:row>175</xdr:row>
      <xdr:rowOff>11093</xdr:rowOff>
    </xdr:from>
    <xdr:to>
      <xdr:col>5</xdr:col>
      <xdr:colOff>307302</xdr:colOff>
      <xdr:row>180</xdr:row>
      <xdr:rowOff>25399</xdr:rowOff>
    </xdr:to>
    <xdr:pic>
      <xdr:nvPicPr>
        <xdr:cNvPr id="10" name="Picture 9">
          <a:extLst>
            <a:ext uri="{FF2B5EF4-FFF2-40B4-BE49-F238E27FC236}">
              <a16:creationId xmlns:a16="http://schemas.microsoft.com/office/drawing/2014/main" id="{3CC2DC81-63B8-F904-11AB-AA3BEFDFF65E}"/>
            </a:ext>
          </a:extLst>
        </xdr:cNvPr>
        <xdr:cNvPicPr>
          <a:picLocks noChangeAspect="1"/>
        </xdr:cNvPicPr>
      </xdr:nvPicPr>
      <xdr:blipFill>
        <a:blip xmlns:r="http://schemas.openxmlformats.org/officeDocument/2006/relationships" r:embed="rId4"/>
        <a:stretch>
          <a:fillRect/>
        </a:stretch>
      </xdr:blipFill>
      <xdr:spPr>
        <a:xfrm>
          <a:off x="13534082698" y="33092097"/>
          <a:ext cx="6119353" cy="1040290"/>
        </a:xfrm>
        <a:prstGeom prst="rect">
          <a:avLst/>
        </a:prstGeom>
      </xdr:spPr>
    </xdr:pic>
    <xdr:clientData/>
  </xdr:twoCellAnchor>
  <xdr:twoCellAnchor editAs="oneCell">
    <xdr:from>
      <xdr:col>0</xdr:col>
      <xdr:colOff>1</xdr:colOff>
      <xdr:row>200</xdr:row>
      <xdr:rowOff>0</xdr:rowOff>
    </xdr:from>
    <xdr:to>
      <xdr:col>6</xdr:col>
      <xdr:colOff>199652</xdr:colOff>
      <xdr:row>205</xdr:row>
      <xdr:rowOff>150435</xdr:rowOff>
    </xdr:to>
    <xdr:pic>
      <xdr:nvPicPr>
        <xdr:cNvPr id="11" name="Picture 10">
          <a:extLst>
            <a:ext uri="{FF2B5EF4-FFF2-40B4-BE49-F238E27FC236}">
              <a16:creationId xmlns:a16="http://schemas.microsoft.com/office/drawing/2014/main" id="{A88BDB8D-CD6E-CA43-B0C8-4BE864E39480}"/>
            </a:ext>
          </a:extLst>
        </xdr:cNvPr>
        <xdr:cNvPicPr>
          <a:picLocks noChangeAspect="1"/>
        </xdr:cNvPicPr>
      </xdr:nvPicPr>
      <xdr:blipFill>
        <a:blip xmlns:r="http://schemas.openxmlformats.org/officeDocument/2006/relationships" r:embed="rId5"/>
        <a:stretch>
          <a:fillRect/>
        </a:stretch>
      </xdr:blipFill>
      <xdr:spPr>
        <a:xfrm>
          <a:off x="13533364016" y="37390131"/>
          <a:ext cx="6843581" cy="1176417"/>
        </a:xfrm>
        <a:prstGeom prst="rect">
          <a:avLst/>
        </a:prstGeom>
      </xdr:spPr>
    </xdr:pic>
    <xdr:clientData/>
  </xdr:twoCellAnchor>
  <xdr:twoCellAnchor>
    <xdr:from>
      <xdr:col>5</xdr:col>
      <xdr:colOff>648864</xdr:colOff>
      <xdr:row>231</xdr:row>
      <xdr:rowOff>5546</xdr:rowOff>
    </xdr:from>
    <xdr:to>
      <xdr:col>6</xdr:col>
      <xdr:colOff>94279</xdr:colOff>
      <xdr:row>232</xdr:row>
      <xdr:rowOff>77642</xdr:rowOff>
    </xdr:to>
    <xdr:cxnSp macro="">
      <xdr:nvCxnSpPr>
        <xdr:cNvPr id="13" name="Straight Arrow Connector 12">
          <a:extLst>
            <a:ext uri="{FF2B5EF4-FFF2-40B4-BE49-F238E27FC236}">
              <a16:creationId xmlns:a16="http://schemas.microsoft.com/office/drawing/2014/main" id="{8FD79341-FED1-A5BC-70A4-C031B303F02C}"/>
            </a:ext>
          </a:extLst>
        </xdr:cNvPr>
        <xdr:cNvCxnSpPr/>
      </xdr:nvCxnSpPr>
      <xdr:spPr>
        <a:xfrm flipH="1">
          <a:off x="13533569214" y="42935983"/>
          <a:ext cx="271747" cy="27729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271746</xdr:colOff>
      <xdr:row>230</xdr:row>
      <xdr:rowOff>188560</xdr:rowOff>
    </xdr:from>
    <xdr:to>
      <xdr:col>5</xdr:col>
      <xdr:colOff>282838</xdr:colOff>
      <xdr:row>233</xdr:row>
      <xdr:rowOff>22183</xdr:rowOff>
    </xdr:to>
    <xdr:cxnSp macro="">
      <xdr:nvCxnSpPr>
        <xdr:cNvPr id="14" name="Straight Arrow Connector 13">
          <a:extLst>
            <a:ext uri="{FF2B5EF4-FFF2-40B4-BE49-F238E27FC236}">
              <a16:creationId xmlns:a16="http://schemas.microsoft.com/office/drawing/2014/main" id="{1EEB9C66-CC78-4EF3-EBD8-C85EA2783BE0}"/>
            </a:ext>
          </a:extLst>
        </xdr:cNvPr>
        <xdr:cNvCxnSpPr/>
      </xdr:nvCxnSpPr>
      <xdr:spPr>
        <a:xfrm flipH="1">
          <a:off x="13534206987" y="42913800"/>
          <a:ext cx="11092" cy="44921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404847</xdr:colOff>
      <xdr:row>230</xdr:row>
      <xdr:rowOff>183014</xdr:rowOff>
    </xdr:from>
    <xdr:to>
      <xdr:col>4</xdr:col>
      <xdr:colOff>781964</xdr:colOff>
      <xdr:row>232</xdr:row>
      <xdr:rowOff>72096</xdr:rowOff>
    </xdr:to>
    <xdr:cxnSp macro="">
      <xdr:nvCxnSpPr>
        <xdr:cNvPr id="16" name="Straight Arrow Connector 15">
          <a:extLst>
            <a:ext uri="{FF2B5EF4-FFF2-40B4-BE49-F238E27FC236}">
              <a16:creationId xmlns:a16="http://schemas.microsoft.com/office/drawing/2014/main" id="{B1D61BE3-EE05-93AF-3C91-1F94D20D18D4}"/>
            </a:ext>
          </a:extLst>
        </xdr:cNvPr>
        <xdr:cNvCxnSpPr/>
      </xdr:nvCxnSpPr>
      <xdr:spPr>
        <a:xfrm>
          <a:off x="13534534193" y="42908254"/>
          <a:ext cx="377117" cy="2994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210742</xdr:colOff>
      <xdr:row>230</xdr:row>
      <xdr:rowOff>183014</xdr:rowOff>
    </xdr:from>
    <xdr:to>
      <xdr:col>4</xdr:col>
      <xdr:colOff>465850</xdr:colOff>
      <xdr:row>231</xdr:row>
      <xdr:rowOff>188559</xdr:rowOff>
    </xdr:to>
    <xdr:cxnSp macro="">
      <xdr:nvCxnSpPr>
        <xdr:cNvPr id="18" name="Straight Arrow Connector 17">
          <a:extLst>
            <a:ext uri="{FF2B5EF4-FFF2-40B4-BE49-F238E27FC236}">
              <a16:creationId xmlns:a16="http://schemas.microsoft.com/office/drawing/2014/main" id="{4461FEB2-1E22-316C-4095-6306F0CF1518}"/>
            </a:ext>
          </a:extLst>
        </xdr:cNvPr>
        <xdr:cNvCxnSpPr/>
      </xdr:nvCxnSpPr>
      <xdr:spPr>
        <a:xfrm>
          <a:off x="13534850307" y="42908254"/>
          <a:ext cx="1081440" cy="21074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16639</xdr:colOff>
      <xdr:row>256</xdr:row>
      <xdr:rowOff>27730</xdr:rowOff>
    </xdr:from>
    <xdr:to>
      <xdr:col>5</xdr:col>
      <xdr:colOff>438124</xdr:colOff>
      <xdr:row>259</xdr:row>
      <xdr:rowOff>67809</xdr:rowOff>
    </xdr:to>
    <xdr:pic>
      <xdr:nvPicPr>
        <xdr:cNvPr id="20" name="Picture 19">
          <a:extLst>
            <a:ext uri="{FF2B5EF4-FFF2-40B4-BE49-F238E27FC236}">
              <a16:creationId xmlns:a16="http://schemas.microsoft.com/office/drawing/2014/main" id="{D8E0D6A3-4063-EC5F-91F3-4B87B1A48741}"/>
            </a:ext>
          </a:extLst>
        </xdr:cNvPr>
        <xdr:cNvPicPr>
          <a:picLocks noChangeAspect="1"/>
        </xdr:cNvPicPr>
      </xdr:nvPicPr>
      <xdr:blipFill>
        <a:blip xmlns:r="http://schemas.openxmlformats.org/officeDocument/2006/relationships" r:embed="rId6"/>
        <a:stretch>
          <a:fillRect/>
        </a:stretch>
      </xdr:blipFill>
      <xdr:spPr>
        <a:xfrm>
          <a:off x="13534051702" y="48099171"/>
          <a:ext cx="6239083" cy="655667"/>
        </a:xfrm>
        <a:prstGeom prst="rect">
          <a:avLst/>
        </a:prstGeom>
      </xdr:spPr>
    </xdr:pic>
    <xdr:clientData/>
  </xdr:twoCellAnchor>
  <xdr:twoCellAnchor>
    <xdr:from>
      <xdr:col>4</xdr:col>
      <xdr:colOff>662608</xdr:colOff>
      <xdr:row>93</xdr:row>
      <xdr:rowOff>19720</xdr:rowOff>
    </xdr:from>
    <xdr:to>
      <xdr:col>5</xdr:col>
      <xdr:colOff>110435</xdr:colOff>
      <xdr:row>94</xdr:row>
      <xdr:rowOff>102546</xdr:rowOff>
    </xdr:to>
    <xdr:cxnSp macro="">
      <xdr:nvCxnSpPr>
        <xdr:cNvPr id="8" name="Straight Arrow Connector 7">
          <a:extLst>
            <a:ext uri="{FF2B5EF4-FFF2-40B4-BE49-F238E27FC236}">
              <a16:creationId xmlns:a16="http://schemas.microsoft.com/office/drawing/2014/main" id="{3B559AD6-C24D-99D6-5FAC-F50690AACDF1}"/>
            </a:ext>
          </a:extLst>
        </xdr:cNvPr>
        <xdr:cNvCxnSpPr/>
      </xdr:nvCxnSpPr>
      <xdr:spPr>
        <a:xfrm flipH="1">
          <a:off x="13501373944" y="19531180"/>
          <a:ext cx="272143" cy="28791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165652</xdr:colOff>
      <xdr:row>92</xdr:row>
      <xdr:rowOff>197206</xdr:rowOff>
    </xdr:from>
    <xdr:to>
      <xdr:col>4</xdr:col>
      <xdr:colOff>366800</xdr:colOff>
      <xdr:row>94</xdr:row>
      <xdr:rowOff>157764</xdr:rowOff>
    </xdr:to>
    <xdr:cxnSp macro="">
      <xdr:nvCxnSpPr>
        <xdr:cNvPr id="9" name="Straight Arrow Connector 8">
          <a:extLst>
            <a:ext uri="{FF2B5EF4-FFF2-40B4-BE49-F238E27FC236}">
              <a16:creationId xmlns:a16="http://schemas.microsoft.com/office/drawing/2014/main" id="{017A8D5E-D45A-991C-E566-6A67430EE7E6}"/>
            </a:ext>
          </a:extLst>
        </xdr:cNvPr>
        <xdr:cNvCxnSpPr/>
      </xdr:nvCxnSpPr>
      <xdr:spPr>
        <a:xfrm>
          <a:off x="13501941895" y="19503572"/>
          <a:ext cx="201148" cy="37074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453571</xdr:colOff>
      <xdr:row>92</xdr:row>
      <xdr:rowOff>193261</xdr:rowOff>
    </xdr:from>
    <xdr:to>
      <xdr:col>4</xdr:col>
      <xdr:colOff>122265</xdr:colOff>
      <xdr:row>94</xdr:row>
      <xdr:rowOff>173540</xdr:rowOff>
    </xdr:to>
    <xdr:cxnSp macro="">
      <xdr:nvCxnSpPr>
        <xdr:cNvPr id="15" name="Straight Arrow Connector 14">
          <a:extLst>
            <a:ext uri="{FF2B5EF4-FFF2-40B4-BE49-F238E27FC236}">
              <a16:creationId xmlns:a16="http://schemas.microsoft.com/office/drawing/2014/main" id="{5CC64D6F-0257-4309-1069-706322D952CB}"/>
            </a:ext>
          </a:extLst>
        </xdr:cNvPr>
        <xdr:cNvCxnSpPr/>
      </xdr:nvCxnSpPr>
      <xdr:spPr>
        <a:xfrm>
          <a:off x="13502186430" y="19499627"/>
          <a:ext cx="493011" cy="3904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299751</xdr:colOff>
      <xdr:row>92</xdr:row>
      <xdr:rowOff>193261</xdr:rowOff>
    </xdr:from>
    <xdr:to>
      <xdr:col>3</xdr:col>
      <xdr:colOff>299749</xdr:colOff>
      <xdr:row>94</xdr:row>
      <xdr:rowOff>173540</xdr:rowOff>
    </xdr:to>
    <xdr:cxnSp macro="">
      <xdr:nvCxnSpPr>
        <xdr:cNvPr id="19" name="Straight Arrow Connector 18">
          <a:extLst>
            <a:ext uri="{FF2B5EF4-FFF2-40B4-BE49-F238E27FC236}">
              <a16:creationId xmlns:a16="http://schemas.microsoft.com/office/drawing/2014/main" id="{5DBF1F9B-7408-4EC3-78B1-9AC5A3000DE6}"/>
            </a:ext>
          </a:extLst>
        </xdr:cNvPr>
        <xdr:cNvCxnSpPr/>
      </xdr:nvCxnSpPr>
      <xdr:spPr>
        <a:xfrm>
          <a:off x="13502833263" y="19499627"/>
          <a:ext cx="824315" cy="3904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480840</xdr:colOff>
      <xdr:row>125</xdr:row>
      <xdr:rowOff>73412</xdr:rowOff>
    </xdr:from>
    <xdr:to>
      <xdr:col>4</xdr:col>
      <xdr:colOff>293643</xdr:colOff>
      <xdr:row>126</xdr:row>
      <xdr:rowOff>77084</xdr:rowOff>
    </xdr:to>
    <xdr:sp macro="" textlink="">
      <xdr:nvSpPr>
        <xdr:cNvPr id="22" name="Left Brace 21">
          <a:extLst>
            <a:ext uri="{FF2B5EF4-FFF2-40B4-BE49-F238E27FC236}">
              <a16:creationId xmlns:a16="http://schemas.microsoft.com/office/drawing/2014/main" id="{DCA83BC5-768B-BB51-A197-03C321071A2D}"/>
            </a:ext>
          </a:extLst>
        </xdr:cNvPr>
        <xdr:cNvSpPr/>
      </xdr:nvSpPr>
      <xdr:spPr>
        <a:xfrm rot="5400000">
          <a:off x="13528038163" y="25236664"/>
          <a:ext cx="205550" cy="1464538"/>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xdr:from>
      <xdr:col>4</xdr:col>
      <xdr:colOff>557919</xdr:colOff>
      <xdr:row>128</xdr:row>
      <xdr:rowOff>176184</xdr:rowOff>
    </xdr:from>
    <xdr:to>
      <xdr:col>4</xdr:col>
      <xdr:colOff>561589</xdr:colOff>
      <xdr:row>129</xdr:row>
      <xdr:rowOff>154162</xdr:rowOff>
    </xdr:to>
    <xdr:cxnSp macro="">
      <xdr:nvCxnSpPr>
        <xdr:cNvPr id="24" name="Straight Arrow Connector 23">
          <a:extLst>
            <a:ext uri="{FF2B5EF4-FFF2-40B4-BE49-F238E27FC236}">
              <a16:creationId xmlns:a16="http://schemas.microsoft.com/office/drawing/2014/main" id="{833F1975-CFAB-D57D-5E99-8678ABCF82DD}"/>
            </a:ext>
          </a:extLst>
        </xdr:cNvPr>
        <xdr:cNvCxnSpPr/>
      </xdr:nvCxnSpPr>
      <xdr:spPr>
        <a:xfrm flipH="1">
          <a:off x="13527140723" y="26574566"/>
          <a:ext cx="3670" cy="17985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319336</xdr:colOff>
      <xdr:row>129</xdr:row>
      <xdr:rowOff>0</xdr:rowOff>
    </xdr:from>
    <xdr:to>
      <xdr:col>3</xdr:col>
      <xdr:colOff>323006</xdr:colOff>
      <xdr:row>129</xdr:row>
      <xdr:rowOff>179856</xdr:rowOff>
    </xdr:to>
    <xdr:cxnSp macro="">
      <xdr:nvCxnSpPr>
        <xdr:cNvPr id="25" name="Straight Arrow Connector 24">
          <a:extLst>
            <a:ext uri="{FF2B5EF4-FFF2-40B4-BE49-F238E27FC236}">
              <a16:creationId xmlns:a16="http://schemas.microsoft.com/office/drawing/2014/main" id="{FF277F17-339E-59DC-37AE-07CE9EA698A5}"/>
            </a:ext>
          </a:extLst>
        </xdr:cNvPr>
        <xdr:cNvCxnSpPr/>
      </xdr:nvCxnSpPr>
      <xdr:spPr>
        <a:xfrm flipH="1">
          <a:off x="13528205174" y="26600260"/>
          <a:ext cx="3670" cy="17985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370723</xdr:colOff>
      <xdr:row>129</xdr:row>
      <xdr:rowOff>3671</xdr:rowOff>
    </xdr:from>
    <xdr:to>
      <xdr:col>2</xdr:col>
      <xdr:colOff>374393</xdr:colOff>
      <xdr:row>129</xdr:row>
      <xdr:rowOff>183527</xdr:rowOff>
    </xdr:to>
    <xdr:cxnSp macro="">
      <xdr:nvCxnSpPr>
        <xdr:cNvPr id="26" name="Straight Arrow Connector 25">
          <a:extLst>
            <a:ext uri="{FF2B5EF4-FFF2-40B4-BE49-F238E27FC236}">
              <a16:creationId xmlns:a16="http://schemas.microsoft.com/office/drawing/2014/main" id="{0957A44C-3387-7078-128E-05B680995C74}"/>
            </a:ext>
          </a:extLst>
        </xdr:cNvPr>
        <xdr:cNvCxnSpPr/>
      </xdr:nvCxnSpPr>
      <xdr:spPr>
        <a:xfrm flipH="1">
          <a:off x="13528979654" y="26603931"/>
          <a:ext cx="3670" cy="17985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242255</xdr:colOff>
      <xdr:row>129</xdr:row>
      <xdr:rowOff>11012</xdr:rowOff>
    </xdr:from>
    <xdr:to>
      <xdr:col>1</xdr:col>
      <xdr:colOff>245925</xdr:colOff>
      <xdr:row>129</xdr:row>
      <xdr:rowOff>190868</xdr:rowOff>
    </xdr:to>
    <xdr:cxnSp macro="">
      <xdr:nvCxnSpPr>
        <xdr:cNvPr id="27" name="Straight Arrow Connector 26">
          <a:extLst>
            <a:ext uri="{FF2B5EF4-FFF2-40B4-BE49-F238E27FC236}">
              <a16:creationId xmlns:a16="http://schemas.microsoft.com/office/drawing/2014/main" id="{EB3E7682-C6F8-FAE3-3D23-6EC8FF865480}"/>
            </a:ext>
          </a:extLst>
        </xdr:cNvPr>
        <xdr:cNvCxnSpPr/>
      </xdr:nvCxnSpPr>
      <xdr:spPr>
        <a:xfrm flipH="1">
          <a:off x="13529933989" y="26611272"/>
          <a:ext cx="3670" cy="17985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625475</xdr:colOff>
      <xdr:row>188</xdr:row>
      <xdr:rowOff>184150</xdr:rowOff>
    </xdr:from>
    <xdr:to>
      <xdr:col>4</xdr:col>
      <xdr:colOff>628650</xdr:colOff>
      <xdr:row>190</xdr:row>
      <xdr:rowOff>104775</xdr:rowOff>
    </xdr:to>
    <xdr:cxnSp macro="">
      <xdr:nvCxnSpPr>
        <xdr:cNvPr id="29" name="Straight Arrow Connector 28">
          <a:extLst>
            <a:ext uri="{FF2B5EF4-FFF2-40B4-BE49-F238E27FC236}">
              <a16:creationId xmlns:a16="http://schemas.microsoft.com/office/drawing/2014/main" id="{3249E79D-2495-EA46-344E-72D8AAC7956A}"/>
            </a:ext>
          </a:extLst>
        </xdr:cNvPr>
        <xdr:cNvCxnSpPr/>
      </xdr:nvCxnSpPr>
      <xdr:spPr>
        <a:xfrm flipH="1">
          <a:off x="13521061350" y="38500050"/>
          <a:ext cx="3175" cy="3270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79375</xdr:colOff>
      <xdr:row>188</xdr:row>
      <xdr:rowOff>190500</xdr:rowOff>
    </xdr:from>
    <xdr:to>
      <xdr:col>4</xdr:col>
      <xdr:colOff>92075</xdr:colOff>
      <xdr:row>192</xdr:row>
      <xdr:rowOff>92075</xdr:rowOff>
    </xdr:to>
    <xdr:cxnSp macro="">
      <xdr:nvCxnSpPr>
        <xdr:cNvPr id="30" name="Straight Arrow Connector 29">
          <a:extLst>
            <a:ext uri="{FF2B5EF4-FFF2-40B4-BE49-F238E27FC236}">
              <a16:creationId xmlns:a16="http://schemas.microsoft.com/office/drawing/2014/main" id="{1E003D28-36AF-83F3-5C5B-C32F0D9F5B2A}"/>
            </a:ext>
          </a:extLst>
        </xdr:cNvPr>
        <xdr:cNvCxnSpPr/>
      </xdr:nvCxnSpPr>
      <xdr:spPr>
        <a:xfrm flipH="1">
          <a:off x="13521597925" y="38506400"/>
          <a:ext cx="12700" cy="7143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396875</xdr:colOff>
      <xdr:row>188</xdr:row>
      <xdr:rowOff>161925</xdr:rowOff>
    </xdr:from>
    <xdr:to>
      <xdr:col>3</xdr:col>
      <xdr:colOff>400050</xdr:colOff>
      <xdr:row>190</xdr:row>
      <xdr:rowOff>82550</xdr:rowOff>
    </xdr:to>
    <xdr:cxnSp macro="">
      <xdr:nvCxnSpPr>
        <xdr:cNvPr id="32" name="Straight Arrow Connector 31">
          <a:extLst>
            <a:ext uri="{FF2B5EF4-FFF2-40B4-BE49-F238E27FC236}">
              <a16:creationId xmlns:a16="http://schemas.microsoft.com/office/drawing/2014/main" id="{EED43233-3F28-D483-2F7C-C123B3515245}"/>
            </a:ext>
          </a:extLst>
        </xdr:cNvPr>
        <xdr:cNvCxnSpPr/>
      </xdr:nvCxnSpPr>
      <xdr:spPr>
        <a:xfrm flipH="1">
          <a:off x="13522115450" y="38477825"/>
          <a:ext cx="3175" cy="3270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473075</xdr:colOff>
      <xdr:row>188</xdr:row>
      <xdr:rowOff>177800</xdr:rowOff>
    </xdr:from>
    <xdr:to>
      <xdr:col>3</xdr:col>
      <xdr:colOff>66675</xdr:colOff>
      <xdr:row>189</xdr:row>
      <xdr:rowOff>152400</xdr:rowOff>
    </xdr:to>
    <xdr:cxnSp macro="">
      <xdr:nvCxnSpPr>
        <xdr:cNvPr id="33" name="Straight Arrow Connector 32">
          <a:extLst>
            <a:ext uri="{FF2B5EF4-FFF2-40B4-BE49-F238E27FC236}">
              <a16:creationId xmlns:a16="http://schemas.microsoft.com/office/drawing/2014/main" id="{563D7508-D87C-A6F4-286E-E5247DBFE352}"/>
            </a:ext>
          </a:extLst>
        </xdr:cNvPr>
        <xdr:cNvCxnSpPr/>
      </xdr:nvCxnSpPr>
      <xdr:spPr>
        <a:xfrm>
          <a:off x="13522448825" y="38493700"/>
          <a:ext cx="419100" cy="1778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706783</xdr:colOff>
      <xdr:row>220</xdr:row>
      <xdr:rowOff>11044</xdr:rowOff>
    </xdr:from>
    <xdr:to>
      <xdr:col>3</xdr:col>
      <xdr:colOff>710464</xdr:colOff>
      <xdr:row>221</xdr:row>
      <xdr:rowOff>92029</xdr:rowOff>
    </xdr:to>
    <xdr:cxnSp macro="">
      <xdr:nvCxnSpPr>
        <xdr:cNvPr id="36" name="Straight Arrow Connector 35">
          <a:extLst>
            <a:ext uri="{FF2B5EF4-FFF2-40B4-BE49-F238E27FC236}">
              <a16:creationId xmlns:a16="http://schemas.microsoft.com/office/drawing/2014/main" id="{FB0693DF-5E39-0378-D694-D5EBD33A914B}"/>
            </a:ext>
          </a:extLst>
        </xdr:cNvPr>
        <xdr:cNvCxnSpPr/>
      </xdr:nvCxnSpPr>
      <xdr:spPr>
        <a:xfrm flipH="1">
          <a:off x="13506729768" y="44346928"/>
          <a:ext cx="3681" cy="28344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541130</xdr:colOff>
      <xdr:row>219</xdr:row>
      <xdr:rowOff>180378</xdr:rowOff>
    </xdr:from>
    <xdr:to>
      <xdr:col>2</xdr:col>
      <xdr:colOff>544811</xdr:colOff>
      <xdr:row>221</xdr:row>
      <xdr:rowOff>58899</xdr:rowOff>
    </xdr:to>
    <xdr:cxnSp macro="">
      <xdr:nvCxnSpPr>
        <xdr:cNvPr id="37" name="Straight Arrow Connector 36">
          <a:extLst>
            <a:ext uri="{FF2B5EF4-FFF2-40B4-BE49-F238E27FC236}">
              <a16:creationId xmlns:a16="http://schemas.microsoft.com/office/drawing/2014/main" id="{F9D20452-A6F7-5493-11CB-5A7FD3E77396}"/>
            </a:ext>
          </a:extLst>
        </xdr:cNvPr>
        <xdr:cNvCxnSpPr/>
      </xdr:nvCxnSpPr>
      <xdr:spPr>
        <a:xfrm flipH="1">
          <a:off x="13507720000" y="44313798"/>
          <a:ext cx="3681" cy="28344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511681</xdr:colOff>
      <xdr:row>219</xdr:row>
      <xdr:rowOff>191421</xdr:rowOff>
    </xdr:from>
    <xdr:to>
      <xdr:col>2</xdr:col>
      <xdr:colOff>169333</xdr:colOff>
      <xdr:row>220</xdr:row>
      <xdr:rowOff>191420</xdr:rowOff>
    </xdr:to>
    <xdr:cxnSp macro="">
      <xdr:nvCxnSpPr>
        <xdr:cNvPr id="38" name="Straight Arrow Connector 37">
          <a:extLst>
            <a:ext uri="{FF2B5EF4-FFF2-40B4-BE49-F238E27FC236}">
              <a16:creationId xmlns:a16="http://schemas.microsoft.com/office/drawing/2014/main" id="{10026CAE-EB16-55DD-0506-BA3242914376}"/>
            </a:ext>
          </a:extLst>
        </xdr:cNvPr>
        <xdr:cNvCxnSpPr/>
      </xdr:nvCxnSpPr>
      <xdr:spPr>
        <a:xfrm>
          <a:off x="13508095478" y="44324841"/>
          <a:ext cx="482232" cy="20246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59</xdr:row>
      <xdr:rowOff>63237</xdr:rowOff>
    </xdr:from>
    <xdr:to>
      <xdr:col>7</xdr:col>
      <xdr:colOff>507999</xdr:colOff>
      <xdr:row>65</xdr:row>
      <xdr:rowOff>80168</xdr:rowOff>
    </xdr:to>
    <xdr:pic>
      <xdr:nvPicPr>
        <xdr:cNvPr id="4" name="Picture 3">
          <a:extLst>
            <a:ext uri="{FF2B5EF4-FFF2-40B4-BE49-F238E27FC236}">
              <a16:creationId xmlns:a16="http://schemas.microsoft.com/office/drawing/2014/main" id="{289871F3-4540-724B-7AEC-BFD8D70DF06F}"/>
            </a:ext>
          </a:extLst>
        </xdr:cNvPr>
        <xdr:cNvPicPr>
          <a:picLocks noChangeAspect="1"/>
        </xdr:cNvPicPr>
      </xdr:nvPicPr>
      <xdr:blipFill>
        <a:blip xmlns:r="http://schemas.openxmlformats.org/officeDocument/2006/relationships" r:embed="rId1"/>
        <a:stretch>
          <a:fillRect/>
        </a:stretch>
      </xdr:blipFill>
      <xdr:spPr>
        <a:xfrm>
          <a:off x="13557221779" y="12052978"/>
          <a:ext cx="6302962" cy="1230486"/>
        </a:xfrm>
        <a:prstGeom prst="rect">
          <a:avLst/>
        </a:prstGeom>
      </xdr:spPr>
    </xdr:pic>
    <xdr:clientData/>
  </xdr:twoCellAnchor>
  <xdr:twoCellAnchor editAs="oneCell">
    <xdr:from>
      <xdr:col>0</xdr:col>
      <xdr:colOff>1</xdr:colOff>
      <xdr:row>78</xdr:row>
      <xdr:rowOff>96403</xdr:rowOff>
    </xdr:from>
    <xdr:to>
      <xdr:col>8</xdr:col>
      <xdr:colOff>65852</xdr:colOff>
      <xdr:row>85</xdr:row>
      <xdr:rowOff>173304</xdr:rowOff>
    </xdr:to>
    <xdr:pic>
      <xdr:nvPicPr>
        <xdr:cNvPr id="5" name="Picture 4">
          <a:extLst>
            <a:ext uri="{FF2B5EF4-FFF2-40B4-BE49-F238E27FC236}">
              <a16:creationId xmlns:a16="http://schemas.microsoft.com/office/drawing/2014/main" id="{BD30038C-88E5-AC73-53F9-1F4E9C205C74}"/>
            </a:ext>
          </a:extLst>
        </xdr:cNvPr>
        <xdr:cNvPicPr>
          <a:picLocks noChangeAspect="1"/>
        </xdr:cNvPicPr>
      </xdr:nvPicPr>
      <xdr:blipFill>
        <a:blip xmlns:r="http://schemas.openxmlformats.org/officeDocument/2006/relationships" r:embed="rId2"/>
        <a:stretch>
          <a:fillRect/>
        </a:stretch>
      </xdr:blipFill>
      <xdr:spPr>
        <a:xfrm>
          <a:off x="13556836074" y="15929070"/>
          <a:ext cx="6688666" cy="1492716"/>
        </a:xfrm>
        <a:prstGeom prst="rect">
          <a:avLst/>
        </a:prstGeom>
      </xdr:spPr>
    </xdr:pic>
    <xdr:clientData/>
  </xdr:twoCellAnchor>
  <xdr:twoCellAnchor editAs="oneCell">
    <xdr:from>
      <xdr:col>0</xdr:col>
      <xdr:colOff>92212</xdr:colOff>
      <xdr:row>101</xdr:row>
      <xdr:rowOff>33531</xdr:rowOff>
    </xdr:from>
    <xdr:to>
      <xdr:col>8</xdr:col>
      <xdr:colOff>644407</xdr:colOff>
      <xdr:row>107</xdr:row>
      <xdr:rowOff>39873</xdr:rowOff>
    </xdr:to>
    <xdr:pic>
      <xdr:nvPicPr>
        <xdr:cNvPr id="6" name="Picture 5">
          <a:extLst>
            <a:ext uri="{FF2B5EF4-FFF2-40B4-BE49-F238E27FC236}">
              <a16:creationId xmlns:a16="http://schemas.microsoft.com/office/drawing/2014/main" id="{C7F73A8B-48C3-8654-5CC2-082FA330AEA3}"/>
            </a:ext>
          </a:extLst>
        </xdr:cNvPr>
        <xdr:cNvPicPr>
          <a:picLocks noChangeAspect="1"/>
        </xdr:cNvPicPr>
      </xdr:nvPicPr>
      <xdr:blipFill>
        <a:blip xmlns:r="http://schemas.openxmlformats.org/officeDocument/2006/relationships" r:embed="rId3"/>
        <a:stretch>
          <a:fillRect/>
        </a:stretch>
      </xdr:blipFill>
      <xdr:spPr>
        <a:xfrm>
          <a:off x="13556257519" y="20518161"/>
          <a:ext cx="7175010" cy="1219898"/>
        </a:xfrm>
        <a:prstGeom prst="rect">
          <a:avLst/>
        </a:prstGeom>
      </xdr:spPr>
    </xdr:pic>
    <xdr:clientData/>
  </xdr:twoCellAnchor>
  <xdr:twoCellAnchor editAs="oneCell">
    <xdr:from>
      <xdr:col>0</xdr:col>
      <xdr:colOff>8383</xdr:colOff>
      <xdr:row>128</xdr:row>
      <xdr:rowOff>129934</xdr:rowOff>
    </xdr:from>
    <xdr:to>
      <xdr:col>8</xdr:col>
      <xdr:colOff>446852</xdr:colOff>
      <xdr:row>131</xdr:row>
      <xdr:rowOff>30951</xdr:rowOff>
    </xdr:to>
    <xdr:pic>
      <xdr:nvPicPr>
        <xdr:cNvPr id="7" name="Picture 6">
          <a:extLst>
            <a:ext uri="{FF2B5EF4-FFF2-40B4-BE49-F238E27FC236}">
              <a16:creationId xmlns:a16="http://schemas.microsoft.com/office/drawing/2014/main" id="{FBA89C0A-E123-A033-B43C-1E80C66DF673}"/>
            </a:ext>
          </a:extLst>
        </xdr:cNvPr>
        <xdr:cNvPicPr>
          <a:picLocks noChangeAspect="1"/>
        </xdr:cNvPicPr>
      </xdr:nvPicPr>
      <xdr:blipFill>
        <a:blip xmlns:r="http://schemas.openxmlformats.org/officeDocument/2006/relationships" r:embed="rId4"/>
        <a:stretch>
          <a:fillRect/>
        </a:stretch>
      </xdr:blipFill>
      <xdr:spPr>
        <a:xfrm>
          <a:off x="13556455074" y="26075564"/>
          <a:ext cx="7061284" cy="507795"/>
        </a:xfrm>
        <a:prstGeom prst="rect">
          <a:avLst/>
        </a:prstGeom>
      </xdr:spPr>
    </xdr:pic>
    <xdr:clientData/>
  </xdr:twoCellAnchor>
  <xdr:twoCellAnchor editAs="oneCell">
    <xdr:from>
      <xdr:col>0</xdr:col>
      <xdr:colOff>1</xdr:colOff>
      <xdr:row>139</xdr:row>
      <xdr:rowOff>152381</xdr:rowOff>
    </xdr:from>
    <xdr:to>
      <xdr:col>8</xdr:col>
      <xdr:colOff>559741</xdr:colOff>
      <xdr:row>143</xdr:row>
      <xdr:rowOff>50583</xdr:rowOff>
    </xdr:to>
    <xdr:pic>
      <xdr:nvPicPr>
        <xdr:cNvPr id="8" name="Picture 7">
          <a:extLst>
            <a:ext uri="{FF2B5EF4-FFF2-40B4-BE49-F238E27FC236}">
              <a16:creationId xmlns:a16="http://schemas.microsoft.com/office/drawing/2014/main" id="{5410CC2D-44A9-E1E2-257E-591829E0116D}"/>
            </a:ext>
          </a:extLst>
        </xdr:cNvPr>
        <xdr:cNvPicPr>
          <a:picLocks noChangeAspect="1"/>
        </xdr:cNvPicPr>
      </xdr:nvPicPr>
      <xdr:blipFill>
        <a:blip xmlns:r="http://schemas.openxmlformats.org/officeDocument/2006/relationships" r:embed="rId5"/>
        <a:stretch>
          <a:fillRect/>
        </a:stretch>
      </xdr:blipFill>
      <xdr:spPr>
        <a:xfrm>
          <a:off x="13556342185" y="28322862"/>
          <a:ext cx="7182555" cy="707239"/>
        </a:xfrm>
        <a:prstGeom prst="rect">
          <a:avLst/>
        </a:prstGeom>
      </xdr:spPr>
    </xdr:pic>
    <xdr:clientData/>
  </xdr:twoCellAnchor>
  <xdr:twoCellAnchor editAs="oneCell">
    <xdr:from>
      <xdr:col>0</xdr:col>
      <xdr:colOff>0</xdr:colOff>
      <xdr:row>152</xdr:row>
      <xdr:rowOff>201188</xdr:rowOff>
    </xdr:from>
    <xdr:to>
      <xdr:col>8</xdr:col>
      <xdr:colOff>658519</xdr:colOff>
      <xdr:row>160</xdr:row>
      <xdr:rowOff>76902</xdr:rowOff>
    </xdr:to>
    <xdr:pic>
      <xdr:nvPicPr>
        <xdr:cNvPr id="9" name="Picture 8">
          <a:extLst>
            <a:ext uri="{FF2B5EF4-FFF2-40B4-BE49-F238E27FC236}">
              <a16:creationId xmlns:a16="http://schemas.microsoft.com/office/drawing/2014/main" id="{443532EB-48E5-AC44-9C05-686D4483C7AF}"/>
            </a:ext>
          </a:extLst>
        </xdr:cNvPr>
        <xdr:cNvPicPr>
          <a:picLocks noChangeAspect="1"/>
        </xdr:cNvPicPr>
      </xdr:nvPicPr>
      <xdr:blipFill>
        <a:blip xmlns:r="http://schemas.openxmlformats.org/officeDocument/2006/relationships" r:embed="rId2"/>
        <a:stretch>
          <a:fillRect/>
        </a:stretch>
      </xdr:blipFill>
      <xdr:spPr>
        <a:xfrm>
          <a:off x="13556243407" y="31029262"/>
          <a:ext cx="7281334" cy="1493788"/>
        </a:xfrm>
        <a:prstGeom prst="rect">
          <a:avLst/>
        </a:prstGeom>
      </xdr:spPr>
    </xdr:pic>
    <xdr:clientData/>
  </xdr:twoCellAnchor>
  <xdr:twoCellAnchor editAs="oneCell">
    <xdr:from>
      <xdr:col>0</xdr:col>
      <xdr:colOff>0</xdr:colOff>
      <xdr:row>175</xdr:row>
      <xdr:rowOff>202968</xdr:rowOff>
    </xdr:from>
    <xdr:to>
      <xdr:col>7</xdr:col>
      <xdr:colOff>330548</xdr:colOff>
      <xdr:row>181</xdr:row>
      <xdr:rowOff>107275</xdr:rowOff>
    </xdr:to>
    <xdr:pic>
      <xdr:nvPicPr>
        <xdr:cNvPr id="10" name="Picture 9">
          <a:extLst>
            <a:ext uri="{FF2B5EF4-FFF2-40B4-BE49-F238E27FC236}">
              <a16:creationId xmlns:a16="http://schemas.microsoft.com/office/drawing/2014/main" id="{DC2439B2-6D3C-A4A9-F9FF-EB215B1E2833}"/>
            </a:ext>
          </a:extLst>
        </xdr:cNvPr>
        <xdr:cNvPicPr>
          <a:picLocks noChangeAspect="1"/>
        </xdr:cNvPicPr>
      </xdr:nvPicPr>
      <xdr:blipFill>
        <a:blip xmlns:r="http://schemas.openxmlformats.org/officeDocument/2006/relationships" r:embed="rId6"/>
        <a:stretch>
          <a:fillRect/>
        </a:stretch>
      </xdr:blipFill>
      <xdr:spPr>
        <a:xfrm>
          <a:off x="13485642877" y="35791963"/>
          <a:ext cx="6094840" cy="1122115"/>
        </a:xfrm>
        <a:prstGeom prst="rect">
          <a:avLst/>
        </a:prstGeom>
      </xdr:spPr>
    </xdr:pic>
    <xdr:clientData/>
  </xdr:twoCellAnchor>
  <xdr:twoCellAnchor editAs="oneCell">
    <xdr:from>
      <xdr:col>0</xdr:col>
      <xdr:colOff>0</xdr:colOff>
      <xdr:row>194</xdr:row>
      <xdr:rowOff>0</xdr:rowOff>
    </xdr:from>
    <xdr:to>
      <xdr:col>10</xdr:col>
      <xdr:colOff>475525</xdr:colOff>
      <xdr:row>197</xdr:row>
      <xdr:rowOff>158195</xdr:rowOff>
    </xdr:to>
    <xdr:pic>
      <xdr:nvPicPr>
        <xdr:cNvPr id="11" name="Picture 10">
          <a:extLst>
            <a:ext uri="{FF2B5EF4-FFF2-40B4-BE49-F238E27FC236}">
              <a16:creationId xmlns:a16="http://schemas.microsoft.com/office/drawing/2014/main" id="{5D0EE88E-0A27-1094-79AA-B48EA9846A64}"/>
            </a:ext>
          </a:extLst>
        </xdr:cNvPr>
        <xdr:cNvPicPr>
          <a:picLocks noChangeAspect="1"/>
        </xdr:cNvPicPr>
      </xdr:nvPicPr>
      <xdr:blipFill>
        <a:blip xmlns:r="http://schemas.openxmlformats.org/officeDocument/2006/relationships" r:embed="rId7"/>
        <a:stretch>
          <a:fillRect/>
        </a:stretch>
      </xdr:blipFill>
      <xdr:spPr>
        <a:xfrm>
          <a:off x="13483027489" y="39445388"/>
          <a:ext cx="8710228" cy="767100"/>
        </a:xfrm>
        <a:prstGeom prst="rect">
          <a:avLst/>
        </a:prstGeom>
      </xdr:spPr>
    </xdr:pic>
    <xdr:clientData/>
  </xdr:twoCellAnchor>
  <xdr:twoCellAnchor editAs="oneCell">
    <xdr:from>
      <xdr:col>8</xdr:col>
      <xdr:colOff>824579</xdr:colOff>
      <xdr:row>1</xdr:row>
      <xdr:rowOff>0</xdr:rowOff>
    </xdr:from>
    <xdr:to>
      <xdr:col>18</xdr:col>
      <xdr:colOff>351182</xdr:colOff>
      <xdr:row>36</xdr:row>
      <xdr:rowOff>119646</xdr:rowOff>
    </xdr:to>
    <xdr:pic>
      <xdr:nvPicPr>
        <xdr:cNvPr id="13" name="Picture 12">
          <a:extLst>
            <a:ext uri="{FF2B5EF4-FFF2-40B4-BE49-F238E27FC236}">
              <a16:creationId xmlns:a16="http://schemas.microsoft.com/office/drawing/2014/main" id="{B7525844-9597-436C-61D3-E884163EF3A6}"/>
            </a:ext>
          </a:extLst>
        </xdr:cNvPr>
        <xdr:cNvPicPr>
          <a:picLocks noChangeAspect="1"/>
        </xdr:cNvPicPr>
      </xdr:nvPicPr>
      <xdr:blipFill>
        <a:blip xmlns:r="http://schemas.openxmlformats.org/officeDocument/2006/relationships" r:embed="rId8"/>
        <a:stretch>
          <a:fillRect/>
        </a:stretch>
      </xdr:blipFill>
      <xdr:spPr>
        <a:xfrm>
          <a:off x="13494720354" y="202464"/>
          <a:ext cx="7772400" cy="7205878"/>
        </a:xfrm>
        <a:prstGeom prst="rect">
          <a:avLst/>
        </a:prstGeom>
      </xdr:spPr>
    </xdr:pic>
    <xdr:clientData/>
  </xdr:twoCellAnchor>
  <xdr:twoCellAnchor editAs="oneCell">
    <xdr:from>
      <xdr:col>0</xdr:col>
      <xdr:colOff>0</xdr:colOff>
      <xdr:row>213</xdr:row>
      <xdr:rowOff>0</xdr:rowOff>
    </xdr:from>
    <xdr:to>
      <xdr:col>9</xdr:col>
      <xdr:colOff>361167</xdr:colOff>
      <xdr:row>215</xdr:row>
      <xdr:rowOff>143329</xdr:rowOff>
    </xdr:to>
    <xdr:pic>
      <xdr:nvPicPr>
        <xdr:cNvPr id="14" name="Picture 13">
          <a:extLst>
            <a:ext uri="{FF2B5EF4-FFF2-40B4-BE49-F238E27FC236}">
              <a16:creationId xmlns:a16="http://schemas.microsoft.com/office/drawing/2014/main" id="{B25FAF8B-747F-A0DF-1467-3AFE0E75FB95}"/>
            </a:ext>
          </a:extLst>
        </xdr:cNvPr>
        <xdr:cNvPicPr>
          <a:picLocks noChangeAspect="1"/>
        </xdr:cNvPicPr>
      </xdr:nvPicPr>
      <xdr:blipFill>
        <a:blip xmlns:r="http://schemas.openxmlformats.org/officeDocument/2006/relationships" r:embed="rId9"/>
        <a:stretch>
          <a:fillRect/>
        </a:stretch>
      </xdr:blipFill>
      <xdr:spPr>
        <a:xfrm>
          <a:off x="13483965317" y="43301781"/>
          <a:ext cx="7772400" cy="549265"/>
        </a:xfrm>
        <a:prstGeom prst="rect">
          <a:avLst/>
        </a:prstGeom>
      </xdr:spPr>
    </xdr:pic>
    <xdr:clientData/>
  </xdr:twoCellAnchor>
  <xdr:twoCellAnchor editAs="oneCell">
    <xdr:from>
      <xdr:col>0</xdr:col>
      <xdr:colOff>202260</xdr:colOff>
      <xdr:row>226</xdr:row>
      <xdr:rowOff>136408</xdr:rowOff>
    </xdr:from>
    <xdr:to>
      <xdr:col>7</xdr:col>
      <xdr:colOff>667927</xdr:colOff>
      <xdr:row>232</xdr:row>
      <xdr:rowOff>72764</xdr:rowOff>
    </xdr:to>
    <xdr:pic>
      <xdr:nvPicPr>
        <xdr:cNvPr id="15" name="Picture 14">
          <a:extLst>
            <a:ext uri="{FF2B5EF4-FFF2-40B4-BE49-F238E27FC236}">
              <a16:creationId xmlns:a16="http://schemas.microsoft.com/office/drawing/2014/main" id="{366E1682-7B7B-0BB1-A69D-7AA9BD17B899}"/>
            </a:ext>
          </a:extLst>
        </xdr:cNvPr>
        <xdr:cNvPicPr>
          <a:picLocks noChangeAspect="1"/>
        </xdr:cNvPicPr>
      </xdr:nvPicPr>
      <xdr:blipFill>
        <a:blip xmlns:r="http://schemas.openxmlformats.org/officeDocument/2006/relationships" r:embed="rId10"/>
        <a:stretch>
          <a:fillRect/>
        </a:stretch>
      </xdr:blipFill>
      <xdr:spPr>
        <a:xfrm>
          <a:off x="13557061851" y="45931667"/>
          <a:ext cx="6260630" cy="1149911"/>
        </a:xfrm>
        <a:prstGeom prst="rect">
          <a:avLst/>
        </a:prstGeom>
      </xdr:spPr>
    </xdr:pic>
    <xdr:clientData/>
  </xdr:twoCellAnchor>
  <xdr:twoCellAnchor editAs="oneCell">
    <xdr:from>
      <xdr:col>18</xdr:col>
      <xdr:colOff>601037</xdr:colOff>
      <xdr:row>1</xdr:row>
      <xdr:rowOff>117593</xdr:rowOff>
    </xdr:from>
    <xdr:to>
      <xdr:col>27</xdr:col>
      <xdr:colOff>81845</xdr:colOff>
      <xdr:row>43</xdr:row>
      <xdr:rowOff>175602</xdr:rowOff>
    </xdr:to>
    <xdr:pic>
      <xdr:nvPicPr>
        <xdr:cNvPr id="17" name="Picture 16">
          <a:extLst>
            <a:ext uri="{FF2B5EF4-FFF2-40B4-BE49-F238E27FC236}">
              <a16:creationId xmlns:a16="http://schemas.microsoft.com/office/drawing/2014/main" id="{B6B581C9-F850-559F-DA4C-70DB3502391A}"/>
            </a:ext>
          </a:extLst>
        </xdr:cNvPr>
        <xdr:cNvPicPr>
          <a:picLocks noChangeAspect="1"/>
        </xdr:cNvPicPr>
      </xdr:nvPicPr>
      <xdr:blipFill>
        <a:blip xmlns:r="http://schemas.openxmlformats.org/officeDocument/2006/relationships" r:embed="rId11"/>
        <a:stretch>
          <a:fillRect/>
        </a:stretch>
      </xdr:blipFill>
      <xdr:spPr>
        <a:xfrm>
          <a:off x="13541090896" y="319852"/>
          <a:ext cx="6931475" cy="8839824"/>
        </a:xfrm>
        <a:prstGeom prst="rect">
          <a:avLst/>
        </a:prstGeom>
      </xdr:spPr>
    </xdr:pic>
    <xdr:clientData/>
  </xdr:twoCellAnchor>
  <xdr:twoCellAnchor>
    <xdr:from>
      <xdr:col>10</xdr:col>
      <xdr:colOff>515077</xdr:colOff>
      <xdr:row>299</xdr:row>
      <xdr:rowOff>110092</xdr:rowOff>
    </xdr:from>
    <xdr:to>
      <xdr:col>10</xdr:col>
      <xdr:colOff>809969</xdr:colOff>
      <xdr:row>299</xdr:row>
      <xdr:rowOff>110092</xdr:rowOff>
    </xdr:to>
    <xdr:cxnSp macro="">
      <xdr:nvCxnSpPr>
        <xdr:cNvPr id="3" name="Straight Connector 2">
          <a:extLst>
            <a:ext uri="{FF2B5EF4-FFF2-40B4-BE49-F238E27FC236}">
              <a16:creationId xmlns:a16="http://schemas.microsoft.com/office/drawing/2014/main" id="{1358B505-9697-63AF-C7BE-5B8907970A4F}"/>
            </a:ext>
          </a:extLst>
        </xdr:cNvPr>
        <xdr:cNvCxnSpPr/>
      </xdr:nvCxnSpPr>
      <xdr:spPr>
        <a:xfrm>
          <a:off x="13519146068" y="61777832"/>
          <a:ext cx="294892"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507213</xdr:colOff>
      <xdr:row>299</xdr:row>
      <xdr:rowOff>106161</xdr:rowOff>
    </xdr:from>
    <xdr:to>
      <xdr:col>10</xdr:col>
      <xdr:colOff>519009</xdr:colOff>
      <xdr:row>303</xdr:row>
      <xdr:rowOff>106161</xdr:rowOff>
    </xdr:to>
    <xdr:cxnSp macro="">
      <xdr:nvCxnSpPr>
        <xdr:cNvPr id="12" name="Straight Connector 11">
          <a:extLst>
            <a:ext uri="{FF2B5EF4-FFF2-40B4-BE49-F238E27FC236}">
              <a16:creationId xmlns:a16="http://schemas.microsoft.com/office/drawing/2014/main" id="{148BF521-E6E7-BD00-84CE-B7C37859C285}"/>
            </a:ext>
          </a:extLst>
        </xdr:cNvPr>
        <xdr:cNvCxnSpPr/>
      </xdr:nvCxnSpPr>
      <xdr:spPr>
        <a:xfrm>
          <a:off x="13519437028" y="61773901"/>
          <a:ext cx="11796" cy="841424"/>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503281</xdr:colOff>
      <xdr:row>303</xdr:row>
      <xdr:rowOff>114024</xdr:rowOff>
    </xdr:from>
    <xdr:to>
      <xdr:col>10</xdr:col>
      <xdr:colOff>798173</xdr:colOff>
      <xdr:row>303</xdr:row>
      <xdr:rowOff>114024</xdr:rowOff>
    </xdr:to>
    <xdr:cxnSp macro="">
      <xdr:nvCxnSpPr>
        <xdr:cNvPr id="19" name="Straight Connector 18">
          <a:extLst>
            <a:ext uri="{FF2B5EF4-FFF2-40B4-BE49-F238E27FC236}">
              <a16:creationId xmlns:a16="http://schemas.microsoft.com/office/drawing/2014/main" id="{64162B4F-4D3B-B42A-11A0-E40DA861333F}"/>
            </a:ext>
          </a:extLst>
        </xdr:cNvPr>
        <xdr:cNvCxnSpPr/>
      </xdr:nvCxnSpPr>
      <xdr:spPr>
        <a:xfrm>
          <a:off x="13519157864" y="62623188"/>
          <a:ext cx="294892"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87032</xdr:colOff>
      <xdr:row>6</xdr:row>
      <xdr:rowOff>157944</xdr:rowOff>
    </xdr:from>
    <xdr:to>
      <xdr:col>6</xdr:col>
      <xdr:colOff>757897</xdr:colOff>
      <xdr:row>18</xdr:row>
      <xdr:rowOff>89007</xdr:rowOff>
    </xdr:to>
    <xdr:pic>
      <xdr:nvPicPr>
        <xdr:cNvPr id="2" name="Picture 1">
          <a:extLst>
            <a:ext uri="{FF2B5EF4-FFF2-40B4-BE49-F238E27FC236}">
              <a16:creationId xmlns:a16="http://schemas.microsoft.com/office/drawing/2014/main" id="{C355ECE7-BDFA-2DB1-7CA7-AA06E15CF7FD}"/>
            </a:ext>
          </a:extLst>
        </xdr:cNvPr>
        <xdr:cNvPicPr>
          <a:picLocks noChangeAspect="1"/>
        </xdr:cNvPicPr>
      </xdr:nvPicPr>
      <xdr:blipFill>
        <a:blip xmlns:r="http://schemas.openxmlformats.org/officeDocument/2006/relationships" r:embed="rId1"/>
        <a:stretch>
          <a:fillRect/>
        </a:stretch>
      </xdr:blipFill>
      <xdr:spPr>
        <a:xfrm>
          <a:off x="13514001900" y="1376370"/>
          <a:ext cx="5621931" cy="2367916"/>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29113</xdr:colOff>
      <xdr:row>41</xdr:row>
      <xdr:rowOff>99817</xdr:rowOff>
    </xdr:from>
    <xdr:to>
      <xdr:col>7</xdr:col>
      <xdr:colOff>676849</xdr:colOff>
      <xdr:row>62</xdr:row>
      <xdr:rowOff>115988</xdr:rowOff>
    </xdr:to>
    <xdr:pic>
      <xdr:nvPicPr>
        <xdr:cNvPr id="3" name="Picture 2">
          <a:extLst>
            <a:ext uri="{FF2B5EF4-FFF2-40B4-BE49-F238E27FC236}">
              <a16:creationId xmlns:a16="http://schemas.microsoft.com/office/drawing/2014/main" id="{830C69E4-3E00-97BF-9FBC-E35A1F98D79C}"/>
            </a:ext>
          </a:extLst>
        </xdr:cNvPr>
        <xdr:cNvPicPr>
          <a:picLocks noChangeAspect="1"/>
        </xdr:cNvPicPr>
      </xdr:nvPicPr>
      <xdr:blipFill>
        <a:blip xmlns:r="http://schemas.openxmlformats.org/officeDocument/2006/relationships" r:embed="rId2"/>
        <a:stretch>
          <a:fillRect/>
        </a:stretch>
      </xdr:blipFill>
      <xdr:spPr>
        <a:xfrm>
          <a:off x="13527475959" y="8454889"/>
          <a:ext cx="6430057" cy="4295598"/>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69141</xdr:colOff>
      <xdr:row>80</xdr:row>
      <xdr:rowOff>63507</xdr:rowOff>
    </xdr:from>
    <xdr:to>
      <xdr:col>7</xdr:col>
      <xdr:colOff>687765</xdr:colOff>
      <xdr:row>93</xdr:row>
      <xdr:rowOff>185157</xdr:rowOff>
    </xdr:to>
    <xdr:pic>
      <xdr:nvPicPr>
        <xdr:cNvPr id="4" name="Picture 3">
          <a:extLst>
            <a:ext uri="{FF2B5EF4-FFF2-40B4-BE49-F238E27FC236}">
              <a16:creationId xmlns:a16="http://schemas.microsoft.com/office/drawing/2014/main" id="{D4853D2A-364B-E27B-73DB-182B323FA592}"/>
            </a:ext>
          </a:extLst>
        </xdr:cNvPr>
        <xdr:cNvPicPr>
          <a:picLocks noChangeAspect="1"/>
        </xdr:cNvPicPr>
      </xdr:nvPicPr>
      <xdr:blipFill>
        <a:blip xmlns:r="http://schemas.openxmlformats.org/officeDocument/2006/relationships" r:embed="rId3"/>
        <a:stretch>
          <a:fillRect/>
        </a:stretch>
      </xdr:blipFill>
      <xdr:spPr>
        <a:xfrm>
          <a:off x="13527465043" y="16387920"/>
          <a:ext cx="6400945" cy="2770819"/>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9</xdr:col>
      <xdr:colOff>14556</xdr:colOff>
      <xdr:row>82</xdr:row>
      <xdr:rowOff>152837</xdr:rowOff>
    </xdr:from>
    <xdr:to>
      <xdr:col>9</xdr:col>
      <xdr:colOff>349341</xdr:colOff>
      <xdr:row>85</xdr:row>
      <xdr:rowOff>0</xdr:rowOff>
    </xdr:to>
    <xdr:cxnSp macro="">
      <xdr:nvCxnSpPr>
        <xdr:cNvPr id="6" name="Straight Arrow Connector 5">
          <a:extLst>
            <a:ext uri="{FF2B5EF4-FFF2-40B4-BE49-F238E27FC236}">
              <a16:creationId xmlns:a16="http://schemas.microsoft.com/office/drawing/2014/main" id="{567C1E5F-E98C-FA37-EA3B-959AD9DDAA4F}"/>
            </a:ext>
          </a:extLst>
        </xdr:cNvPr>
        <xdr:cNvCxnSpPr/>
      </xdr:nvCxnSpPr>
      <xdr:spPr>
        <a:xfrm>
          <a:off x="13526151375" y="16884814"/>
          <a:ext cx="334785" cy="45851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352980</xdr:colOff>
      <xdr:row>82</xdr:row>
      <xdr:rowOff>131004</xdr:rowOff>
    </xdr:from>
    <xdr:to>
      <xdr:col>9</xdr:col>
      <xdr:colOff>651376</xdr:colOff>
      <xdr:row>85</xdr:row>
      <xdr:rowOff>29112</xdr:rowOff>
    </xdr:to>
    <xdr:cxnSp macro="">
      <xdr:nvCxnSpPr>
        <xdr:cNvPr id="7" name="Straight Arrow Connector 6">
          <a:extLst>
            <a:ext uri="{FF2B5EF4-FFF2-40B4-BE49-F238E27FC236}">
              <a16:creationId xmlns:a16="http://schemas.microsoft.com/office/drawing/2014/main" id="{2A791814-BFB4-502F-B015-8B3674653A47}"/>
            </a:ext>
          </a:extLst>
        </xdr:cNvPr>
        <xdr:cNvCxnSpPr/>
      </xdr:nvCxnSpPr>
      <xdr:spPr>
        <a:xfrm flipH="1">
          <a:off x="13525849340" y="16862981"/>
          <a:ext cx="298396" cy="50945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3638</xdr:colOff>
      <xdr:row>85</xdr:row>
      <xdr:rowOff>39518</xdr:rowOff>
    </xdr:from>
    <xdr:ext cx="1348666" cy="172227"/>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9E275920-5269-2996-2D7F-899E1CE53E01}"/>
                </a:ext>
              </a:extLst>
            </xdr:cNvPr>
            <xdr:cNvSpPr txBox="1"/>
          </xdr:nvSpPr>
          <xdr:spPr>
            <a:xfrm>
              <a:off x="13525974458" y="17382842"/>
              <a:ext cx="134866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he-IL" sz="1100" b="0" i="1">
                        <a:latin typeface="Cambria Math" panose="02040503050406030204" pitchFamily="18" charset="0"/>
                      </a:rPr>
                      <m:t>400,000∗7%</m:t>
                    </m:r>
                  </m:oMath>
                </m:oMathPara>
              </a14:m>
              <a:endParaRPr lang="en-US" sz="1100"/>
            </a:p>
          </xdr:txBody>
        </xdr:sp>
      </mc:Choice>
      <mc:Fallback xmlns="">
        <xdr:sp macro="" textlink="">
          <xdr:nvSpPr>
            <xdr:cNvPr id="9" name="TextBox 8">
              <a:extLst>
                <a:ext uri="{FF2B5EF4-FFF2-40B4-BE49-F238E27FC236}">
                  <a16:creationId xmlns:a16="http://schemas.microsoft.com/office/drawing/2014/main" id="{9E275920-5269-2996-2D7F-899E1CE53E01}"/>
                </a:ext>
              </a:extLst>
            </xdr:cNvPr>
            <xdr:cNvSpPr txBox="1"/>
          </xdr:nvSpPr>
          <xdr:spPr>
            <a:xfrm>
              <a:off x="13525974458" y="17382842"/>
              <a:ext cx="134866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he-IL" sz="1100" b="0" i="0">
                  <a:latin typeface="Cambria Math" panose="02040503050406030204" pitchFamily="18" charset="0"/>
                </a:rPr>
                <a:t>400,000∗7%</a:t>
              </a:r>
              <a:endParaRPr lang="en-US" sz="1100"/>
            </a:p>
          </xdr:txBody>
        </xdr:sp>
      </mc:Fallback>
    </mc:AlternateContent>
    <xdr:clientData/>
  </xdr:oneCellAnchor>
  <xdr:oneCellAnchor>
    <xdr:from>
      <xdr:col>7</xdr:col>
      <xdr:colOff>826045</xdr:colOff>
      <xdr:row>86</xdr:row>
      <xdr:rowOff>14045</xdr:rowOff>
    </xdr:from>
    <xdr:ext cx="1348666" cy="172227"/>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0F01BBA0-E9E0-28B2-AABF-6FC2B495E682}"/>
                </a:ext>
              </a:extLst>
            </xdr:cNvPr>
            <xdr:cNvSpPr txBox="1"/>
          </xdr:nvSpPr>
          <xdr:spPr>
            <a:xfrm>
              <a:off x="13525978097" y="17561151"/>
              <a:ext cx="134866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𝐺𝑟𝑜𝑢𝑝</m:t>
                    </m:r>
                    <m:r>
                      <a:rPr lang="en-US" sz="1100" b="0" i="1">
                        <a:latin typeface="Cambria Math" panose="02040503050406030204" pitchFamily="18" charset="0"/>
                      </a:rPr>
                      <m:t> </m:t>
                    </m:r>
                    <m:r>
                      <a:rPr lang="en-US" sz="1100" b="0" i="1">
                        <a:latin typeface="Cambria Math" panose="02040503050406030204" pitchFamily="18" charset="0"/>
                      </a:rPr>
                      <m:t>𝐴</m:t>
                    </m:r>
                  </m:oMath>
                </m:oMathPara>
              </a14:m>
              <a:endParaRPr lang="en-US" sz="1100"/>
            </a:p>
          </xdr:txBody>
        </xdr:sp>
      </mc:Choice>
      <mc:Fallback xmlns="">
        <xdr:sp macro="" textlink="">
          <xdr:nvSpPr>
            <xdr:cNvPr id="10" name="TextBox 9">
              <a:extLst>
                <a:ext uri="{FF2B5EF4-FFF2-40B4-BE49-F238E27FC236}">
                  <a16:creationId xmlns:a16="http://schemas.microsoft.com/office/drawing/2014/main" id="{0F01BBA0-E9E0-28B2-AABF-6FC2B495E682}"/>
                </a:ext>
              </a:extLst>
            </xdr:cNvPr>
            <xdr:cNvSpPr txBox="1"/>
          </xdr:nvSpPr>
          <xdr:spPr>
            <a:xfrm>
              <a:off x="13525978097" y="17561151"/>
              <a:ext cx="134866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𝐺𝑟𝑜𝑢𝑝 𝐴</a:t>
              </a:r>
              <a:endParaRPr lang="en-US" sz="1100"/>
            </a:p>
          </xdr:txBody>
        </xdr:sp>
      </mc:Fallback>
    </mc:AlternateContent>
    <xdr:clientData/>
  </xdr:oneCellAnchor>
  <xdr:oneCellAnchor>
    <xdr:from>
      <xdr:col>9</xdr:col>
      <xdr:colOff>174670</xdr:colOff>
      <xdr:row>85</xdr:row>
      <xdr:rowOff>32240</xdr:rowOff>
    </xdr:from>
    <xdr:ext cx="1348666" cy="172227"/>
    <mc:AlternateContent xmlns:mc="http://schemas.openxmlformats.org/markup-compatibility/2006" xmlns:a14="http://schemas.microsoft.com/office/drawing/2010/main">
      <mc:Choice Requires="a14">
        <xdr:sp macro="" textlink="">
          <xdr:nvSpPr>
            <xdr:cNvPr id="11" name="TextBox 10">
              <a:extLst>
                <a:ext uri="{FF2B5EF4-FFF2-40B4-BE49-F238E27FC236}">
                  <a16:creationId xmlns:a16="http://schemas.microsoft.com/office/drawing/2014/main" id="{3C1C4B47-BDEC-3929-568B-3FD1B1832C44}"/>
                </a:ext>
              </a:extLst>
            </xdr:cNvPr>
            <xdr:cNvSpPr txBox="1"/>
          </xdr:nvSpPr>
          <xdr:spPr>
            <a:xfrm>
              <a:off x="13524977380" y="17375564"/>
              <a:ext cx="134866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5</m:t>
                    </m:r>
                    <m:r>
                      <a:rPr lang="he-IL" sz="1100" b="0" i="1">
                        <a:latin typeface="Cambria Math" panose="02040503050406030204" pitchFamily="18" charset="0"/>
                      </a:rPr>
                      <m:t>00,000∗</m:t>
                    </m:r>
                    <m:r>
                      <a:rPr lang="en-US" sz="1100" b="0" i="1">
                        <a:latin typeface="Cambria Math" panose="02040503050406030204" pitchFamily="18" charset="0"/>
                      </a:rPr>
                      <m:t>8</m:t>
                    </m:r>
                    <m:r>
                      <a:rPr lang="he-IL" sz="1100" b="0" i="1">
                        <a:latin typeface="Cambria Math" panose="02040503050406030204" pitchFamily="18" charset="0"/>
                      </a:rPr>
                      <m:t>%</m:t>
                    </m:r>
                  </m:oMath>
                </m:oMathPara>
              </a14:m>
              <a:endParaRPr lang="en-US" sz="1100"/>
            </a:p>
          </xdr:txBody>
        </xdr:sp>
      </mc:Choice>
      <mc:Fallback xmlns="">
        <xdr:sp macro="" textlink="">
          <xdr:nvSpPr>
            <xdr:cNvPr id="11" name="TextBox 10">
              <a:extLst>
                <a:ext uri="{FF2B5EF4-FFF2-40B4-BE49-F238E27FC236}">
                  <a16:creationId xmlns:a16="http://schemas.microsoft.com/office/drawing/2014/main" id="{3C1C4B47-BDEC-3929-568B-3FD1B1832C44}"/>
                </a:ext>
              </a:extLst>
            </xdr:cNvPr>
            <xdr:cNvSpPr txBox="1"/>
          </xdr:nvSpPr>
          <xdr:spPr>
            <a:xfrm>
              <a:off x="13524977380" y="17375564"/>
              <a:ext cx="134866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5</a:t>
              </a:r>
              <a:r>
                <a:rPr lang="he-IL" sz="1100" b="0" i="0">
                  <a:latin typeface="Cambria Math" panose="02040503050406030204" pitchFamily="18" charset="0"/>
                </a:rPr>
                <a:t>00,000∗</a:t>
              </a:r>
              <a:r>
                <a:rPr lang="en-US" sz="1100" b="0" i="0">
                  <a:latin typeface="Cambria Math" panose="02040503050406030204" pitchFamily="18" charset="0"/>
                </a:rPr>
                <a:t>8</a:t>
              </a:r>
              <a:r>
                <a:rPr lang="he-IL" sz="1100" b="0" i="0">
                  <a:latin typeface="Cambria Math" panose="02040503050406030204" pitchFamily="18" charset="0"/>
                </a:rPr>
                <a:t>%</a:t>
              </a:r>
              <a:endParaRPr lang="en-US" sz="1100"/>
            </a:p>
          </xdr:txBody>
        </xdr:sp>
      </mc:Fallback>
    </mc:AlternateContent>
    <xdr:clientData/>
  </xdr:oneCellAnchor>
  <xdr:oneCellAnchor>
    <xdr:from>
      <xdr:col>9</xdr:col>
      <xdr:colOff>221976</xdr:colOff>
      <xdr:row>85</xdr:row>
      <xdr:rowOff>203272</xdr:rowOff>
    </xdr:from>
    <xdr:ext cx="1348666" cy="172227"/>
    <mc:AlternateContent xmlns:mc="http://schemas.openxmlformats.org/markup-compatibility/2006" xmlns:a14="http://schemas.microsoft.com/office/drawing/2010/main">
      <mc:Choice Requires="a14">
        <xdr:sp macro="" textlink="">
          <xdr:nvSpPr>
            <xdr:cNvPr id="12" name="TextBox 11">
              <a:extLst>
                <a:ext uri="{FF2B5EF4-FFF2-40B4-BE49-F238E27FC236}">
                  <a16:creationId xmlns:a16="http://schemas.microsoft.com/office/drawing/2014/main" id="{B6427D97-423D-53A2-6660-28BC7E9F1967}"/>
                </a:ext>
              </a:extLst>
            </xdr:cNvPr>
            <xdr:cNvSpPr txBox="1"/>
          </xdr:nvSpPr>
          <xdr:spPr>
            <a:xfrm>
              <a:off x="13524930074" y="17546596"/>
              <a:ext cx="134866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𝐺𝑟𝑜𝑢𝑝</m:t>
                    </m:r>
                    <m:r>
                      <a:rPr lang="en-US" sz="1100" b="0" i="1">
                        <a:latin typeface="Cambria Math" panose="02040503050406030204" pitchFamily="18" charset="0"/>
                      </a:rPr>
                      <m:t> </m:t>
                    </m:r>
                    <m:r>
                      <a:rPr lang="en-US" sz="1100" b="0" i="1">
                        <a:latin typeface="Cambria Math" panose="02040503050406030204" pitchFamily="18" charset="0"/>
                      </a:rPr>
                      <m:t>𝐵</m:t>
                    </m:r>
                  </m:oMath>
                </m:oMathPara>
              </a14:m>
              <a:endParaRPr lang="en-US" sz="1100"/>
            </a:p>
          </xdr:txBody>
        </xdr:sp>
      </mc:Choice>
      <mc:Fallback xmlns="">
        <xdr:sp macro="" textlink="">
          <xdr:nvSpPr>
            <xdr:cNvPr id="12" name="TextBox 11">
              <a:extLst>
                <a:ext uri="{FF2B5EF4-FFF2-40B4-BE49-F238E27FC236}">
                  <a16:creationId xmlns:a16="http://schemas.microsoft.com/office/drawing/2014/main" id="{B6427D97-423D-53A2-6660-28BC7E9F1967}"/>
                </a:ext>
              </a:extLst>
            </xdr:cNvPr>
            <xdr:cNvSpPr txBox="1"/>
          </xdr:nvSpPr>
          <xdr:spPr>
            <a:xfrm>
              <a:off x="13524930074" y="17546596"/>
              <a:ext cx="134866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𝐺𝑟𝑜𝑢𝑝 𝐵</a:t>
              </a:r>
              <a:endParaRPr lang="en-US" sz="1100"/>
            </a:p>
          </xdr:txBody>
        </xdr:sp>
      </mc:Fallback>
    </mc:AlternateContent>
    <xdr:clientData/>
  </xdr:oneCellAnchor>
  <xdr:twoCellAnchor>
    <xdr:from>
      <xdr:col>2</xdr:col>
      <xdr:colOff>407564</xdr:colOff>
      <xdr:row>109</xdr:row>
      <xdr:rowOff>21834</xdr:rowOff>
    </xdr:from>
    <xdr:to>
      <xdr:col>2</xdr:col>
      <xdr:colOff>411203</xdr:colOff>
      <xdr:row>110</xdr:row>
      <xdr:rowOff>174670</xdr:rowOff>
    </xdr:to>
    <xdr:cxnSp macro="">
      <xdr:nvCxnSpPr>
        <xdr:cNvPr id="14" name="Straight Connector 13">
          <a:extLst>
            <a:ext uri="{FF2B5EF4-FFF2-40B4-BE49-F238E27FC236}">
              <a16:creationId xmlns:a16="http://schemas.microsoft.com/office/drawing/2014/main" id="{40A987A5-72FC-F941-4164-28CAD1439358}"/>
            </a:ext>
          </a:extLst>
        </xdr:cNvPr>
        <xdr:cNvCxnSpPr/>
      </xdr:nvCxnSpPr>
      <xdr:spPr>
        <a:xfrm>
          <a:off x="13531871834" y="22255931"/>
          <a:ext cx="3639" cy="356619"/>
        </a:xfrm>
        <a:prstGeom prst="line">
          <a:avLst/>
        </a:prstGeom>
      </xdr:spPr>
      <xdr:style>
        <a:lnRef idx="3">
          <a:schemeClr val="accent1"/>
        </a:lnRef>
        <a:fillRef idx="0">
          <a:schemeClr val="accent1"/>
        </a:fillRef>
        <a:effectRef idx="2">
          <a:schemeClr val="accent1"/>
        </a:effectRef>
        <a:fontRef idx="minor">
          <a:schemeClr val="tx1"/>
        </a:fontRef>
      </xdr:style>
    </xdr:cxnSp>
    <xdr:clientData/>
  </xdr:twoCellAnchor>
  <xdr:twoCellAnchor>
    <xdr:from>
      <xdr:col>5</xdr:col>
      <xdr:colOff>433037</xdr:colOff>
      <xdr:row>109</xdr:row>
      <xdr:rowOff>3639</xdr:rowOff>
    </xdr:from>
    <xdr:to>
      <xdr:col>5</xdr:col>
      <xdr:colOff>436676</xdr:colOff>
      <xdr:row>110</xdr:row>
      <xdr:rowOff>156475</xdr:rowOff>
    </xdr:to>
    <xdr:cxnSp macro="">
      <xdr:nvCxnSpPr>
        <xdr:cNvPr id="15" name="Straight Connector 14">
          <a:extLst>
            <a:ext uri="{FF2B5EF4-FFF2-40B4-BE49-F238E27FC236}">
              <a16:creationId xmlns:a16="http://schemas.microsoft.com/office/drawing/2014/main" id="{7E16A641-7773-D2D2-40DF-48FE7A0E7FB0}"/>
            </a:ext>
          </a:extLst>
        </xdr:cNvPr>
        <xdr:cNvCxnSpPr/>
      </xdr:nvCxnSpPr>
      <xdr:spPr>
        <a:xfrm>
          <a:off x="13529368224" y="22237736"/>
          <a:ext cx="3639" cy="356619"/>
        </a:xfrm>
        <a:prstGeom prst="line">
          <a:avLst/>
        </a:prstGeom>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393008</xdr:colOff>
      <xdr:row>110</xdr:row>
      <xdr:rowOff>160114</xdr:rowOff>
    </xdr:from>
    <xdr:to>
      <xdr:col>5</xdr:col>
      <xdr:colOff>443954</xdr:colOff>
      <xdr:row>110</xdr:row>
      <xdr:rowOff>171031</xdr:rowOff>
    </xdr:to>
    <xdr:cxnSp macro="">
      <xdr:nvCxnSpPr>
        <xdr:cNvPr id="16" name="Straight Connector 15">
          <a:extLst>
            <a:ext uri="{FF2B5EF4-FFF2-40B4-BE49-F238E27FC236}">
              <a16:creationId xmlns:a16="http://schemas.microsoft.com/office/drawing/2014/main" id="{E2D5B489-D09D-DB0C-DA8E-5CEAA918EE59}"/>
            </a:ext>
          </a:extLst>
        </xdr:cNvPr>
        <xdr:cNvCxnSpPr/>
      </xdr:nvCxnSpPr>
      <xdr:spPr>
        <a:xfrm flipH="1">
          <a:off x="13529360946" y="22597994"/>
          <a:ext cx="2529083" cy="10917"/>
        </a:xfrm>
        <a:prstGeom prst="line">
          <a:avLst/>
        </a:prstGeom>
      </xdr:spPr>
      <xdr:style>
        <a:lnRef idx="3">
          <a:schemeClr val="accent1"/>
        </a:lnRef>
        <a:fillRef idx="0">
          <a:schemeClr val="accent1"/>
        </a:fillRef>
        <a:effectRef idx="2">
          <a:schemeClr val="accent1"/>
        </a:effectRef>
        <a:fontRef idx="minor">
          <a:schemeClr val="tx1"/>
        </a:fontRef>
      </xdr:style>
    </xdr:cxnSp>
    <xdr:clientData/>
  </xdr:twoCellAnchor>
  <xdr:oneCellAnchor>
    <xdr:from>
      <xdr:col>3</xdr:col>
      <xdr:colOff>436675</xdr:colOff>
      <xdr:row>109</xdr:row>
      <xdr:rowOff>188717</xdr:rowOff>
    </xdr:from>
    <xdr:ext cx="740958" cy="172227"/>
    <mc:AlternateContent xmlns:mc="http://schemas.openxmlformats.org/markup-compatibility/2006" xmlns:a14="http://schemas.microsoft.com/office/drawing/2010/main">
      <mc:Choice Requires="a14">
        <xdr:sp macro="" textlink="">
          <xdr:nvSpPr>
            <xdr:cNvPr id="18" name="TextBox 17">
              <a:extLst>
                <a:ext uri="{FF2B5EF4-FFF2-40B4-BE49-F238E27FC236}">
                  <a16:creationId xmlns:a16="http://schemas.microsoft.com/office/drawing/2014/main" id="{77BEB77E-DAF2-9C32-8A23-246DC9D5B5C6}"/>
                </a:ext>
              </a:extLst>
            </xdr:cNvPr>
            <xdr:cNvSpPr txBox="1"/>
          </xdr:nvSpPr>
          <xdr:spPr>
            <a:xfrm>
              <a:off x="13530279358" y="22422814"/>
              <a:ext cx="74095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14:m>
                <m:oMathPara xmlns:m="http://schemas.openxmlformats.org/officeDocument/2006/math">
                  <m:oMath>
                    <m:r>
                      <a:rPr lang="en-US" sz="1100" b="0" i="1">
                        <a:latin typeface="Cambria Math" panose="02040503050406030204" pitchFamily="18" charset="0"/>
                      </a:rPr>
                      <m:t>9%</m:t>
                    </m:r>
                  </m:oMath>
                </m:oMathPara>
              </a14:m>
              <a:endParaRPr lang="en-US" sz="1100"/>
            </a:p>
          </xdr:txBody>
        </xdr:sp>
      </mc:Choice>
      <mc:Fallback xmlns="">
        <xdr:sp macro="" textlink="">
          <xdr:nvSpPr>
            <xdr:cNvPr id="18" name="TextBox 17">
              <a:extLst>
                <a:ext uri="{FF2B5EF4-FFF2-40B4-BE49-F238E27FC236}">
                  <a16:creationId xmlns:a16="http://schemas.microsoft.com/office/drawing/2014/main" id="{77BEB77E-DAF2-9C32-8A23-246DC9D5B5C6}"/>
                </a:ext>
              </a:extLst>
            </xdr:cNvPr>
            <xdr:cNvSpPr txBox="1"/>
          </xdr:nvSpPr>
          <xdr:spPr>
            <a:xfrm>
              <a:off x="13530279358" y="22422814"/>
              <a:ext cx="74095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rtl="1"/>
              <a:r>
                <a:rPr lang="en-US" sz="1100" b="0" i="0">
                  <a:latin typeface="Cambria Math" panose="02040503050406030204" pitchFamily="18" charset="0"/>
                </a:rPr>
                <a:t>9%</a:t>
              </a:r>
              <a:endParaRPr lang="en-US" sz="1100"/>
            </a:p>
          </xdr:txBody>
        </xdr:sp>
      </mc:Fallback>
    </mc:AlternateContent>
    <xdr:clientData/>
  </xdr:oneCellAnchor>
  <xdr:twoCellAnchor editAs="oneCell">
    <xdr:from>
      <xdr:col>0</xdr:col>
      <xdr:colOff>21834</xdr:colOff>
      <xdr:row>118</xdr:row>
      <xdr:rowOff>80056</xdr:rowOff>
    </xdr:from>
    <xdr:to>
      <xdr:col>7</xdr:col>
      <xdr:colOff>454393</xdr:colOff>
      <xdr:row>132</xdr:row>
      <xdr:rowOff>189256</xdr:rowOff>
    </xdr:to>
    <xdr:pic>
      <xdr:nvPicPr>
        <xdr:cNvPr id="19" name="Picture 18">
          <a:extLst>
            <a:ext uri="{FF2B5EF4-FFF2-40B4-BE49-F238E27FC236}">
              <a16:creationId xmlns:a16="http://schemas.microsoft.com/office/drawing/2014/main" id="{18B1DEC0-04DB-0282-8B31-9596D0FC05A5}"/>
            </a:ext>
          </a:extLst>
        </xdr:cNvPr>
        <xdr:cNvPicPr>
          <a:picLocks noChangeAspect="1"/>
        </xdr:cNvPicPr>
      </xdr:nvPicPr>
      <xdr:blipFill>
        <a:blip xmlns:r="http://schemas.openxmlformats.org/officeDocument/2006/relationships" r:embed="rId4"/>
        <a:stretch>
          <a:fillRect/>
        </a:stretch>
      </xdr:blipFill>
      <xdr:spPr>
        <a:xfrm>
          <a:off x="13527698415" y="24148194"/>
          <a:ext cx="6214880" cy="2962151"/>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36390</xdr:colOff>
      <xdr:row>146</xdr:row>
      <xdr:rowOff>141919</xdr:rowOff>
    </xdr:from>
    <xdr:to>
      <xdr:col>6</xdr:col>
      <xdr:colOff>441168</xdr:colOff>
      <xdr:row>158</xdr:row>
      <xdr:rowOff>139827</xdr:rowOff>
    </xdr:to>
    <xdr:pic>
      <xdr:nvPicPr>
        <xdr:cNvPr id="20" name="Picture 19">
          <a:extLst>
            <a:ext uri="{FF2B5EF4-FFF2-40B4-BE49-F238E27FC236}">
              <a16:creationId xmlns:a16="http://schemas.microsoft.com/office/drawing/2014/main" id="{C1A37595-BD89-5E20-AD6E-538EBAF251A3}"/>
            </a:ext>
          </a:extLst>
        </xdr:cNvPr>
        <xdr:cNvPicPr>
          <a:picLocks noChangeAspect="1"/>
        </xdr:cNvPicPr>
      </xdr:nvPicPr>
      <xdr:blipFill>
        <a:blip xmlns:r="http://schemas.openxmlformats.org/officeDocument/2006/relationships" r:embed="rId5"/>
        <a:stretch>
          <a:fillRect/>
        </a:stretch>
      </xdr:blipFill>
      <xdr:spPr>
        <a:xfrm>
          <a:off x="13528537686" y="30167048"/>
          <a:ext cx="5361053" cy="244329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0</xdr:colOff>
      <xdr:row>206</xdr:row>
      <xdr:rowOff>119632</xdr:rowOff>
    </xdr:from>
    <xdr:to>
      <xdr:col>6</xdr:col>
      <xdr:colOff>327025</xdr:colOff>
      <xdr:row>214</xdr:row>
      <xdr:rowOff>186864</xdr:rowOff>
    </xdr:to>
    <xdr:pic>
      <xdr:nvPicPr>
        <xdr:cNvPr id="21" name="Picture 20">
          <a:extLst>
            <a:ext uri="{FF2B5EF4-FFF2-40B4-BE49-F238E27FC236}">
              <a16:creationId xmlns:a16="http://schemas.microsoft.com/office/drawing/2014/main" id="{10A5A837-01E1-39E0-C1B3-181EF0B669CE}"/>
            </a:ext>
          </a:extLst>
        </xdr:cNvPr>
        <xdr:cNvPicPr>
          <a:picLocks noChangeAspect="1"/>
        </xdr:cNvPicPr>
      </xdr:nvPicPr>
      <xdr:blipFill>
        <a:blip xmlns:r="http://schemas.openxmlformats.org/officeDocument/2006/relationships" r:embed="rId6"/>
        <a:stretch>
          <a:fillRect/>
        </a:stretch>
      </xdr:blipFill>
      <xdr:spPr>
        <a:xfrm>
          <a:off x="13519711975" y="42283632"/>
          <a:ext cx="5280025" cy="169283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10</xdr:col>
      <xdr:colOff>574675</xdr:colOff>
      <xdr:row>243</xdr:row>
      <xdr:rowOff>34925</xdr:rowOff>
    </xdr:from>
    <xdr:to>
      <xdr:col>10</xdr:col>
      <xdr:colOff>590550</xdr:colOff>
      <xdr:row>244</xdr:row>
      <xdr:rowOff>101600</xdr:rowOff>
    </xdr:to>
    <xdr:cxnSp macro="">
      <xdr:nvCxnSpPr>
        <xdr:cNvPr id="23" name="Straight Arrow Connector 22">
          <a:extLst>
            <a:ext uri="{FF2B5EF4-FFF2-40B4-BE49-F238E27FC236}">
              <a16:creationId xmlns:a16="http://schemas.microsoft.com/office/drawing/2014/main" id="{2CFF91E3-2B59-625B-4E7E-E0BEB68AC90A}"/>
            </a:ext>
          </a:extLst>
        </xdr:cNvPr>
        <xdr:cNvCxnSpPr/>
      </xdr:nvCxnSpPr>
      <xdr:spPr>
        <a:xfrm flipH="1">
          <a:off x="13517797450" y="48117125"/>
          <a:ext cx="15875" cy="269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460375</xdr:colOff>
      <xdr:row>243</xdr:row>
      <xdr:rowOff>9525</xdr:rowOff>
    </xdr:from>
    <xdr:to>
      <xdr:col>9</xdr:col>
      <xdr:colOff>485775</xdr:colOff>
      <xdr:row>245</xdr:row>
      <xdr:rowOff>15875</xdr:rowOff>
    </xdr:to>
    <xdr:cxnSp macro="">
      <xdr:nvCxnSpPr>
        <xdr:cNvPr id="24" name="Straight Arrow Connector 23">
          <a:extLst>
            <a:ext uri="{FF2B5EF4-FFF2-40B4-BE49-F238E27FC236}">
              <a16:creationId xmlns:a16="http://schemas.microsoft.com/office/drawing/2014/main" id="{8FDBC2AF-E9D4-C80B-2858-947C40D0F34D}"/>
            </a:ext>
          </a:extLst>
        </xdr:cNvPr>
        <xdr:cNvCxnSpPr/>
      </xdr:nvCxnSpPr>
      <xdr:spPr>
        <a:xfrm flipH="1">
          <a:off x="13518727725" y="48091725"/>
          <a:ext cx="25400" cy="4127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165100</xdr:colOff>
      <xdr:row>242</xdr:row>
      <xdr:rowOff>190500</xdr:rowOff>
    </xdr:from>
    <xdr:to>
      <xdr:col>8</xdr:col>
      <xdr:colOff>190500</xdr:colOff>
      <xdr:row>244</xdr:row>
      <xdr:rowOff>196850</xdr:rowOff>
    </xdr:to>
    <xdr:cxnSp macro="">
      <xdr:nvCxnSpPr>
        <xdr:cNvPr id="26" name="Straight Arrow Connector 25">
          <a:extLst>
            <a:ext uri="{FF2B5EF4-FFF2-40B4-BE49-F238E27FC236}">
              <a16:creationId xmlns:a16="http://schemas.microsoft.com/office/drawing/2014/main" id="{09EB6069-3EF7-A4D6-5815-5EAABC84826F}"/>
            </a:ext>
          </a:extLst>
        </xdr:cNvPr>
        <xdr:cNvCxnSpPr/>
      </xdr:nvCxnSpPr>
      <xdr:spPr>
        <a:xfrm flipH="1">
          <a:off x="13519848500" y="48069500"/>
          <a:ext cx="25400" cy="4127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365125</xdr:colOff>
      <xdr:row>241</xdr:row>
      <xdr:rowOff>184150</xdr:rowOff>
    </xdr:from>
    <xdr:to>
      <xdr:col>3</xdr:col>
      <xdr:colOff>365125</xdr:colOff>
      <xdr:row>243</xdr:row>
      <xdr:rowOff>76200</xdr:rowOff>
    </xdr:to>
    <xdr:cxnSp macro="">
      <xdr:nvCxnSpPr>
        <xdr:cNvPr id="27" name="Straight Arrow Connector 26">
          <a:extLst>
            <a:ext uri="{FF2B5EF4-FFF2-40B4-BE49-F238E27FC236}">
              <a16:creationId xmlns:a16="http://schemas.microsoft.com/office/drawing/2014/main" id="{8FCAC042-4C3F-8996-BC77-0D3BA72EA93B}"/>
            </a:ext>
          </a:extLst>
        </xdr:cNvPr>
        <xdr:cNvCxnSpPr/>
      </xdr:nvCxnSpPr>
      <xdr:spPr>
        <a:xfrm>
          <a:off x="13522150375" y="48469550"/>
          <a:ext cx="0" cy="298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361950</xdr:colOff>
      <xdr:row>246</xdr:row>
      <xdr:rowOff>25400</xdr:rowOff>
    </xdr:from>
    <xdr:to>
      <xdr:col>3</xdr:col>
      <xdr:colOff>361950</xdr:colOff>
      <xdr:row>247</xdr:row>
      <xdr:rowOff>120650</xdr:rowOff>
    </xdr:to>
    <xdr:cxnSp macro="">
      <xdr:nvCxnSpPr>
        <xdr:cNvPr id="29" name="Straight Arrow Connector 28">
          <a:extLst>
            <a:ext uri="{FF2B5EF4-FFF2-40B4-BE49-F238E27FC236}">
              <a16:creationId xmlns:a16="http://schemas.microsoft.com/office/drawing/2014/main" id="{E20AF5E0-7BF8-6BC1-5CE7-2ABCF63401CA}"/>
            </a:ext>
          </a:extLst>
        </xdr:cNvPr>
        <xdr:cNvCxnSpPr/>
      </xdr:nvCxnSpPr>
      <xdr:spPr>
        <a:xfrm>
          <a:off x="13522153550" y="49326800"/>
          <a:ext cx="0" cy="298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249</xdr:row>
      <xdr:rowOff>85725</xdr:rowOff>
    </xdr:from>
    <xdr:to>
      <xdr:col>3</xdr:col>
      <xdr:colOff>352425</xdr:colOff>
      <xdr:row>250</xdr:row>
      <xdr:rowOff>180975</xdr:rowOff>
    </xdr:to>
    <xdr:cxnSp macro="">
      <xdr:nvCxnSpPr>
        <xdr:cNvPr id="30" name="Straight Arrow Connector 29">
          <a:extLst>
            <a:ext uri="{FF2B5EF4-FFF2-40B4-BE49-F238E27FC236}">
              <a16:creationId xmlns:a16="http://schemas.microsoft.com/office/drawing/2014/main" id="{2429413A-1058-831C-5FE4-6AEE4E242C27}"/>
            </a:ext>
          </a:extLst>
        </xdr:cNvPr>
        <xdr:cNvCxnSpPr/>
      </xdr:nvCxnSpPr>
      <xdr:spPr>
        <a:xfrm>
          <a:off x="13522163075" y="49996725"/>
          <a:ext cx="0" cy="298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285336</xdr:colOff>
      <xdr:row>248</xdr:row>
      <xdr:rowOff>145410</xdr:rowOff>
    </xdr:from>
    <xdr:to>
      <xdr:col>9</xdr:col>
      <xdr:colOff>310736</xdr:colOff>
      <xdr:row>250</xdr:row>
      <xdr:rowOff>151760</xdr:rowOff>
    </xdr:to>
    <xdr:cxnSp macro="">
      <xdr:nvCxnSpPr>
        <xdr:cNvPr id="31" name="Straight Arrow Connector 30">
          <a:extLst>
            <a:ext uri="{FF2B5EF4-FFF2-40B4-BE49-F238E27FC236}">
              <a16:creationId xmlns:a16="http://schemas.microsoft.com/office/drawing/2014/main" id="{51A81544-B040-086F-1B14-695F45A6D2FD}"/>
            </a:ext>
          </a:extLst>
        </xdr:cNvPr>
        <xdr:cNvCxnSpPr/>
      </xdr:nvCxnSpPr>
      <xdr:spPr>
        <a:xfrm flipH="1">
          <a:off x="13536536601" y="49160647"/>
          <a:ext cx="25400" cy="41214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172615</xdr:colOff>
      <xdr:row>248</xdr:row>
      <xdr:rowOff>156683</xdr:rowOff>
    </xdr:from>
    <xdr:to>
      <xdr:col>9</xdr:col>
      <xdr:colOff>198015</xdr:colOff>
      <xdr:row>250</xdr:row>
      <xdr:rowOff>163033</xdr:rowOff>
    </xdr:to>
    <xdr:cxnSp macro="">
      <xdr:nvCxnSpPr>
        <xdr:cNvPr id="32" name="Straight Arrow Connector 31">
          <a:extLst>
            <a:ext uri="{FF2B5EF4-FFF2-40B4-BE49-F238E27FC236}">
              <a16:creationId xmlns:a16="http://schemas.microsoft.com/office/drawing/2014/main" id="{CD119480-F109-7A8A-08BD-F9AD2CAC335D}"/>
            </a:ext>
          </a:extLst>
        </xdr:cNvPr>
        <xdr:cNvCxnSpPr/>
      </xdr:nvCxnSpPr>
      <xdr:spPr>
        <a:xfrm flipH="1">
          <a:off x="13536649322" y="49171920"/>
          <a:ext cx="25400" cy="41214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263018</xdr:colOff>
      <xdr:row>258</xdr:row>
      <xdr:rowOff>199142</xdr:rowOff>
    </xdr:from>
    <xdr:to>
      <xdr:col>12</xdr:col>
      <xdr:colOff>270533</xdr:colOff>
      <xdr:row>260</xdr:row>
      <xdr:rowOff>93934</xdr:rowOff>
    </xdr:to>
    <xdr:cxnSp macro="">
      <xdr:nvCxnSpPr>
        <xdr:cNvPr id="34" name="Straight Arrow Connector 33">
          <a:extLst>
            <a:ext uri="{FF2B5EF4-FFF2-40B4-BE49-F238E27FC236}">
              <a16:creationId xmlns:a16="http://schemas.microsoft.com/office/drawing/2014/main" id="{942B668F-E214-EBEC-4275-896FB756C672}"/>
            </a:ext>
          </a:extLst>
        </xdr:cNvPr>
        <xdr:cNvCxnSpPr/>
      </xdr:nvCxnSpPr>
      <xdr:spPr>
        <a:xfrm flipH="1">
          <a:off x="13534096923" y="51243373"/>
          <a:ext cx="7515" cy="30059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469675</xdr:colOff>
      <xdr:row>259</xdr:row>
      <xdr:rowOff>7516</xdr:rowOff>
    </xdr:from>
    <xdr:to>
      <xdr:col>11</xdr:col>
      <xdr:colOff>477190</xdr:colOff>
      <xdr:row>262</xdr:row>
      <xdr:rowOff>123994</xdr:rowOff>
    </xdr:to>
    <xdr:cxnSp macro="">
      <xdr:nvCxnSpPr>
        <xdr:cNvPr id="35" name="Straight Arrow Connector 34">
          <a:extLst>
            <a:ext uri="{FF2B5EF4-FFF2-40B4-BE49-F238E27FC236}">
              <a16:creationId xmlns:a16="http://schemas.microsoft.com/office/drawing/2014/main" id="{7B5129F7-CCE1-68AE-2C93-151882575070}"/>
            </a:ext>
          </a:extLst>
        </xdr:cNvPr>
        <xdr:cNvCxnSpPr/>
      </xdr:nvCxnSpPr>
      <xdr:spPr>
        <a:xfrm flipH="1">
          <a:off x="13534716893" y="51254646"/>
          <a:ext cx="7515" cy="7251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589911</xdr:colOff>
      <xdr:row>259</xdr:row>
      <xdr:rowOff>15030</xdr:rowOff>
    </xdr:from>
    <xdr:to>
      <xdr:col>10</xdr:col>
      <xdr:colOff>589911</xdr:colOff>
      <xdr:row>264</xdr:row>
      <xdr:rowOff>184113</xdr:rowOff>
    </xdr:to>
    <xdr:cxnSp macro="">
      <xdr:nvCxnSpPr>
        <xdr:cNvPr id="37" name="Straight Arrow Connector 36">
          <a:extLst>
            <a:ext uri="{FF2B5EF4-FFF2-40B4-BE49-F238E27FC236}">
              <a16:creationId xmlns:a16="http://schemas.microsoft.com/office/drawing/2014/main" id="{E9480B0F-1221-C5BF-B4DA-B6C558DC4805}"/>
            </a:ext>
          </a:extLst>
        </xdr:cNvPr>
        <xdr:cNvCxnSpPr/>
      </xdr:nvCxnSpPr>
      <xdr:spPr>
        <a:xfrm>
          <a:off x="13535430799" y="51262160"/>
          <a:ext cx="0" cy="11835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39</xdr:row>
      <xdr:rowOff>169103</xdr:rowOff>
    </xdr:from>
    <xdr:to>
      <xdr:col>1</xdr:col>
      <xdr:colOff>579518</xdr:colOff>
      <xdr:row>43</xdr:row>
      <xdr:rowOff>123436</xdr:rowOff>
    </xdr:to>
    <xdr:pic>
      <xdr:nvPicPr>
        <xdr:cNvPr id="2" name="Picture 1">
          <a:extLst>
            <a:ext uri="{FF2B5EF4-FFF2-40B4-BE49-F238E27FC236}">
              <a16:creationId xmlns:a16="http://schemas.microsoft.com/office/drawing/2014/main" id="{683D56C8-8B46-9245-8F1C-EE9AF191EC6A}"/>
            </a:ext>
          </a:extLst>
        </xdr:cNvPr>
        <xdr:cNvPicPr>
          <a:picLocks noChangeAspect="1"/>
        </xdr:cNvPicPr>
      </xdr:nvPicPr>
      <xdr:blipFill>
        <a:blip xmlns:r="http://schemas.openxmlformats.org/officeDocument/2006/relationships" r:embed="rId1"/>
        <a:stretch>
          <a:fillRect/>
        </a:stretch>
      </xdr:blipFill>
      <xdr:spPr>
        <a:xfrm>
          <a:off x="13512279150" y="7675217"/>
          <a:ext cx="1404328" cy="768790"/>
        </a:xfrm>
        <a:prstGeom prst="rect">
          <a:avLst/>
        </a:prstGeom>
      </xdr:spPr>
    </xdr:pic>
    <xdr:clientData/>
  </xdr:twoCellAnchor>
  <xdr:twoCellAnchor>
    <xdr:from>
      <xdr:col>4</xdr:col>
      <xdr:colOff>217419</xdr:colOff>
      <xdr:row>61</xdr:row>
      <xdr:rowOff>24157</xdr:rowOff>
    </xdr:from>
    <xdr:to>
      <xdr:col>4</xdr:col>
      <xdr:colOff>220870</xdr:colOff>
      <xdr:row>63</xdr:row>
      <xdr:rowOff>17255</xdr:rowOff>
    </xdr:to>
    <xdr:cxnSp macro="">
      <xdr:nvCxnSpPr>
        <xdr:cNvPr id="4" name="Straight Arrow Connector 3">
          <a:extLst>
            <a:ext uri="{FF2B5EF4-FFF2-40B4-BE49-F238E27FC236}">
              <a16:creationId xmlns:a16="http://schemas.microsoft.com/office/drawing/2014/main" id="{4F56C552-30D6-4E63-AA38-023CADF08138}"/>
            </a:ext>
          </a:extLst>
        </xdr:cNvPr>
        <xdr:cNvCxnSpPr/>
      </xdr:nvCxnSpPr>
      <xdr:spPr>
        <a:xfrm>
          <a:off x="13510163369" y="12009782"/>
          <a:ext cx="3451" cy="400326"/>
        </a:xfrm>
        <a:prstGeom prst="straightConnector1">
          <a:avLst/>
        </a:prstGeom>
        <a:ln w="19050" cap="flat" cmpd="sng" algn="ctr">
          <a:solidFill>
            <a:schemeClr val="accent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xdr:col>
      <xdr:colOff>752336</xdr:colOff>
      <xdr:row>61</xdr:row>
      <xdr:rowOff>10353</xdr:rowOff>
    </xdr:from>
    <xdr:to>
      <xdr:col>8</xdr:col>
      <xdr:colOff>293343</xdr:colOff>
      <xdr:row>62</xdr:row>
      <xdr:rowOff>189810</xdr:rowOff>
    </xdr:to>
    <xdr:cxnSp macro="">
      <xdr:nvCxnSpPr>
        <xdr:cNvPr id="5" name="Straight Arrow Connector 4">
          <a:extLst>
            <a:ext uri="{FF2B5EF4-FFF2-40B4-BE49-F238E27FC236}">
              <a16:creationId xmlns:a16="http://schemas.microsoft.com/office/drawing/2014/main" id="{7BE19471-486E-7FCB-86EE-1C9A4370C1F5}"/>
            </a:ext>
          </a:extLst>
        </xdr:cNvPr>
        <xdr:cNvCxnSpPr/>
      </xdr:nvCxnSpPr>
      <xdr:spPr>
        <a:xfrm flipH="1">
          <a:off x="13507616467" y="11995978"/>
          <a:ext cx="365816" cy="383071"/>
        </a:xfrm>
        <a:prstGeom prst="straightConnector1">
          <a:avLst/>
        </a:prstGeom>
        <a:ln w="19050" cap="flat" cmpd="sng" algn="ctr">
          <a:solidFill>
            <a:schemeClr val="accent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638451</xdr:colOff>
      <xdr:row>61</xdr:row>
      <xdr:rowOff>58668</xdr:rowOff>
    </xdr:from>
    <xdr:to>
      <xdr:col>5</xdr:col>
      <xdr:colOff>638451</xdr:colOff>
      <xdr:row>64</xdr:row>
      <xdr:rowOff>3451</xdr:rowOff>
    </xdr:to>
    <xdr:cxnSp macro="">
      <xdr:nvCxnSpPr>
        <xdr:cNvPr id="7" name="Straight Arrow Connector 6">
          <a:extLst>
            <a:ext uri="{FF2B5EF4-FFF2-40B4-BE49-F238E27FC236}">
              <a16:creationId xmlns:a16="http://schemas.microsoft.com/office/drawing/2014/main" id="{2E3709DB-D54B-229B-D508-6338E558226C}"/>
            </a:ext>
          </a:extLst>
        </xdr:cNvPr>
        <xdr:cNvCxnSpPr/>
      </xdr:nvCxnSpPr>
      <xdr:spPr>
        <a:xfrm>
          <a:off x="13508920978" y="12044293"/>
          <a:ext cx="0" cy="555625"/>
        </a:xfrm>
        <a:prstGeom prst="straightConnector1">
          <a:avLst/>
        </a:prstGeom>
        <a:ln w="19050" cap="flat" cmpd="sng" algn="ctr">
          <a:solidFill>
            <a:schemeClr val="accent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xdr:col>
      <xdr:colOff>693665</xdr:colOff>
      <xdr:row>60</xdr:row>
      <xdr:rowOff>153574</xdr:rowOff>
    </xdr:from>
    <xdr:to>
      <xdr:col>6</xdr:col>
      <xdr:colOff>574604</xdr:colOff>
      <xdr:row>61</xdr:row>
      <xdr:rowOff>69022</xdr:rowOff>
    </xdr:to>
    <xdr:sp macro="" textlink="">
      <xdr:nvSpPr>
        <xdr:cNvPr id="10" name="Left Brace 9">
          <a:extLst>
            <a:ext uri="{FF2B5EF4-FFF2-40B4-BE49-F238E27FC236}">
              <a16:creationId xmlns:a16="http://schemas.microsoft.com/office/drawing/2014/main" id="{6CC8DB6A-97F5-E12B-4082-24564D41D1F9}"/>
            </a:ext>
          </a:extLst>
        </xdr:cNvPr>
        <xdr:cNvSpPr/>
      </xdr:nvSpPr>
      <xdr:spPr>
        <a:xfrm rot="16200000">
          <a:off x="13508865764" y="11229836"/>
          <a:ext cx="119062" cy="1530559"/>
        </a:xfrm>
        <a:prstGeom prst="lef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r" rtl="1"/>
          <a:endParaRPr lang="en-US" sz="1100"/>
        </a:p>
      </xdr:txBody>
    </xdr:sp>
    <xdr:clientData/>
  </xdr:twoCellAnchor>
  <xdr:twoCellAnchor>
    <xdr:from>
      <xdr:col>9</xdr:col>
      <xdr:colOff>91908</xdr:colOff>
      <xdr:row>78</xdr:row>
      <xdr:rowOff>125329</xdr:rowOff>
    </xdr:from>
    <xdr:to>
      <xdr:col>11</xdr:col>
      <xdr:colOff>555624</xdr:colOff>
      <xdr:row>78</xdr:row>
      <xdr:rowOff>133685</xdr:rowOff>
    </xdr:to>
    <xdr:cxnSp macro="">
      <xdr:nvCxnSpPr>
        <xdr:cNvPr id="12" name="Straight Connector 11">
          <a:extLst>
            <a:ext uri="{FF2B5EF4-FFF2-40B4-BE49-F238E27FC236}">
              <a16:creationId xmlns:a16="http://schemas.microsoft.com/office/drawing/2014/main" id="{E1A52900-1DC8-781C-D9CC-C30B3A2C7332}"/>
            </a:ext>
          </a:extLst>
        </xdr:cNvPr>
        <xdr:cNvCxnSpPr/>
      </xdr:nvCxnSpPr>
      <xdr:spPr>
        <a:xfrm flipH="1">
          <a:off x="13543543191" y="15645230"/>
          <a:ext cx="2118059" cy="8356"/>
        </a:xfrm>
        <a:prstGeom prst="line">
          <a:avLst/>
        </a:prstGeom>
      </xdr:spPr>
      <xdr:style>
        <a:lnRef idx="3">
          <a:schemeClr val="accent1"/>
        </a:lnRef>
        <a:fillRef idx="0">
          <a:schemeClr val="accent1"/>
        </a:fillRef>
        <a:effectRef idx="2">
          <a:schemeClr val="accent1"/>
        </a:effectRef>
        <a:fontRef idx="minor">
          <a:schemeClr val="tx1"/>
        </a:fontRef>
      </xdr:style>
    </xdr:cxnSp>
    <xdr:clientData/>
  </xdr:twoCellAnchor>
  <xdr:twoCellAnchor>
    <xdr:from>
      <xdr:col>11</xdr:col>
      <xdr:colOff>497137</xdr:colOff>
      <xdr:row>78</xdr:row>
      <xdr:rowOff>133685</xdr:rowOff>
    </xdr:from>
    <xdr:to>
      <xdr:col>11</xdr:col>
      <xdr:colOff>559802</xdr:colOff>
      <xdr:row>97</xdr:row>
      <xdr:rowOff>62665</xdr:rowOff>
    </xdr:to>
    <xdr:cxnSp macro="">
      <xdr:nvCxnSpPr>
        <xdr:cNvPr id="13" name="Straight Connector 12">
          <a:extLst>
            <a:ext uri="{FF2B5EF4-FFF2-40B4-BE49-F238E27FC236}">
              <a16:creationId xmlns:a16="http://schemas.microsoft.com/office/drawing/2014/main" id="{3968B771-6C3F-146E-215F-04AAFDE4A835}"/>
            </a:ext>
          </a:extLst>
        </xdr:cNvPr>
        <xdr:cNvCxnSpPr/>
      </xdr:nvCxnSpPr>
      <xdr:spPr>
        <a:xfrm>
          <a:off x="13543539013" y="15653586"/>
          <a:ext cx="62665" cy="3818355"/>
        </a:xfrm>
        <a:prstGeom prst="line">
          <a:avLst/>
        </a:prstGeom>
      </xdr:spPr>
      <xdr:style>
        <a:lnRef idx="3">
          <a:schemeClr val="accent1"/>
        </a:lnRef>
        <a:fillRef idx="0">
          <a:schemeClr val="accent1"/>
        </a:fillRef>
        <a:effectRef idx="2">
          <a:schemeClr val="accent1"/>
        </a:effectRef>
        <a:fontRef idx="minor">
          <a:schemeClr val="tx1"/>
        </a:fontRef>
      </xdr:style>
    </xdr:cxnSp>
    <xdr:clientData/>
  </xdr:twoCellAnchor>
  <xdr:twoCellAnchor editAs="oneCell">
    <xdr:from>
      <xdr:col>0</xdr:col>
      <xdr:colOff>0</xdr:colOff>
      <xdr:row>103</xdr:row>
      <xdr:rowOff>0</xdr:rowOff>
    </xdr:from>
    <xdr:to>
      <xdr:col>9</xdr:col>
      <xdr:colOff>326300</xdr:colOff>
      <xdr:row>115</xdr:row>
      <xdr:rowOff>53268</xdr:rowOff>
    </xdr:to>
    <xdr:pic>
      <xdr:nvPicPr>
        <xdr:cNvPr id="15" name="Picture 14">
          <a:extLst>
            <a:ext uri="{FF2B5EF4-FFF2-40B4-BE49-F238E27FC236}">
              <a16:creationId xmlns:a16="http://schemas.microsoft.com/office/drawing/2014/main" id="{32D8DC93-8851-4F00-2812-C1EDC49F0501}"/>
            </a:ext>
          </a:extLst>
        </xdr:cNvPr>
        <xdr:cNvPicPr>
          <a:picLocks noChangeAspect="1"/>
        </xdr:cNvPicPr>
      </xdr:nvPicPr>
      <xdr:blipFill>
        <a:blip xmlns:r="http://schemas.openxmlformats.org/officeDocument/2006/relationships" r:embed="rId2"/>
        <a:stretch>
          <a:fillRect/>
        </a:stretch>
      </xdr:blipFill>
      <xdr:spPr>
        <a:xfrm>
          <a:off x="13547438222" y="19197552"/>
          <a:ext cx="7772400" cy="2519493"/>
        </a:xfrm>
        <a:prstGeom prst="rect">
          <a:avLst/>
        </a:prstGeom>
      </xdr:spPr>
    </xdr:pic>
    <xdr:clientData/>
  </xdr:twoCellAnchor>
  <xdr:twoCellAnchor>
    <xdr:from>
      <xdr:col>9</xdr:col>
      <xdr:colOff>443984</xdr:colOff>
      <xdr:row>128</xdr:row>
      <xdr:rowOff>17209</xdr:rowOff>
    </xdr:from>
    <xdr:to>
      <xdr:col>9</xdr:col>
      <xdr:colOff>443984</xdr:colOff>
      <xdr:row>129</xdr:row>
      <xdr:rowOff>72276</xdr:rowOff>
    </xdr:to>
    <xdr:cxnSp macro="">
      <xdr:nvCxnSpPr>
        <xdr:cNvPr id="17" name="Straight Arrow Connector 16">
          <a:extLst>
            <a:ext uri="{FF2B5EF4-FFF2-40B4-BE49-F238E27FC236}">
              <a16:creationId xmlns:a16="http://schemas.microsoft.com/office/drawing/2014/main" id="{D699AF6B-A6FD-EC71-C655-BB146F0B971F}"/>
            </a:ext>
          </a:extLst>
        </xdr:cNvPr>
        <xdr:cNvCxnSpPr/>
      </xdr:nvCxnSpPr>
      <xdr:spPr>
        <a:xfrm>
          <a:off x="13526398293" y="25644363"/>
          <a:ext cx="0" cy="25813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182412</xdr:colOff>
      <xdr:row>127</xdr:row>
      <xdr:rowOff>189295</xdr:rowOff>
    </xdr:from>
    <xdr:to>
      <xdr:col>8</xdr:col>
      <xdr:colOff>182412</xdr:colOff>
      <xdr:row>129</xdr:row>
      <xdr:rowOff>41300</xdr:rowOff>
    </xdr:to>
    <xdr:cxnSp macro="">
      <xdr:nvCxnSpPr>
        <xdr:cNvPr id="18" name="Straight Arrow Connector 17">
          <a:extLst>
            <a:ext uri="{FF2B5EF4-FFF2-40B4-BE49-F238E27FC236}">
              <a16:creationId xmlns:a16="http://schemas.microsoft.com/office/drawing/2014/main" id="{BBAD7A60-63A6-D2BE-C660-CFF1CECB2BC5}"/>
            </a:ext>
          </a:extLst>
        </xdr:cNvPr>
        <xdr:cNvCxnSpPr/>
      </xdr:nvCxnSpPr>
      <xdr:spPr>
        <a:xfrm>
          <a:off x="13527485881" y="25613387"/>
          <a:ext cx="0" cy="25813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430216</xdr:colOff>
      <xdr:row>127</xdr:row>
      <xdr:rowOff>199620</xdr:rowOff>
    </xdr:from>
    <xdr:to>
      <xdr:col>6</xdr:col>
      <xdr:colOff>430216</xdr:colOff>
      <xdr:row>129</xdr:row>
      <xdr:rowOff>51625</xdr:rowOff>
    </xdr:to>
    <xdr:cxnSp macro="">
      <xdr:nvCxnSpPr>
        <xdr:cNvPr id="19" name="Straight Arrow Connector 18">
          <a:extLst>
            <a:ext uri="{FF2B5EF4-FFF2-40B4-BE49-F238E27FC236}">
              <a16:creationId xmlns:a16="http://schemas.microsoft.com/office/drawing/2014/main" id="{691E3E81-DD4F-694A-8017-204E31EAF93B}"/>
            </a:ext>
          </a:extLst>
        </xdr:cNvPr>
        <xdr:cNvCxnSpPr/>
      </xdr:nvCxnSpPr>
      <xdr:spPr>
        <a:xfrm>
          <a:off x="13528064093" y="25623712"/>
          <a:ext cx="0" cy="25813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629838</xdr:colOff>
      <xdr:row>153</xdr:row>
      <xdr:rowOff>189295</xdr:rowOff>
    </xdr:from>
    <xdr:to>
      <xdr:col>6</xdr:col>
      <xdr:colOff>58510</xdr:colOff>
      <xdr:row>155</xdr:row>
      <xdr:rowOff>110136</xdr:rowOff>
    </xdr:to>
    <xdr:cxnSp macro="">
      <xdr:nvCxnSpPr>
        <xdr:cNvPr id="21" name="Straight Arrow Connector 20">
          <a:extLst>
            <a:ext uri="{FF2B5EF4-FFF2-40B4-BE49-F238E27FC236}">
              <a16:creationId xmlns:a16="http://schemas.microsoft.com/office/drawing/2014/main" id="{AE3F68C6-CC68-1409-29F8-09FF6E96AB66}"/>
            </a:ext>
          </a:extLst>
        </xdr:cNvPr>
        <xdr:cNvCxnSpPr/>
      </xdr:nvCxnSpPr>
      <xdr:spPr>
        <a:xfrm flipH="1">
          <a:off x="13528435799" y="30893008"/>
          <a:ext cx="254689" cy="3269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788158</xdr:colOff>
      <xdr:row>153</xdr:row>
      <xdr:rowOff>185853</xdr:rowOff>
    </xdr:from>
    <xdr:to>
      <xdr:col>5</xdr:col>
      <xdr:colOff>271897</xdr:colOff>
      <xdr:row>156</xdr:row>
      <xdr:rowOff>68834</xdr:rowOff>
    </xdr:to>
    <xdr:cxnSp macro="">
      <xdr:nvCxnSpPr>
        <xdr:cNvPr id="22" name="Straight Arrow Connector 21">
          <a:extLst>
            <a:ext uri="{FF2B5EF4-FFF2-40B4-BE49-F238E27FC236}">
              <a16:creationId xmlns:a16="http://schemas.microsoft.com/office/drawing/2014/main" id="{F4A4782F-702F-9449-5905-9AD5B6766604}"/>
            </a:ext>
          </a:extLst>
        </xdr:cNvPr>
        <xdr:cNvCxnSpPr/>
      </xdr:nvCxnSpPr>
      <xdr:spPr>
        <a:xfrm>
          <a:off x="13529048429" y="30889566"/>
          <a:ext cx="309755" cy="49216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574769</xdr:colOff>
      <xdr:row>167</xdr:row>
      <xdr:rowOff>168644</xdr:rowOff>
    </xdr:from>
    <xdr:to>
      <xdr:col>8</xdr:col>
      <xdr:colOff>3442</xdr:colOff>
      <xdr:row>169</xdr:row>
      <xdr:rowOff>89484</xdr:rowOff>
    </xdr:to>
    <xdr:cxnSp macro="">
      <xdr:nvCxnSpPr>
        <xdr:cNvPr id="24" name="Straight Arrow Connector 23">
          <a:extLst>
            <a:ext uri="{FF2B5EF4-FFF2-40B4-BE49-F238E27FC236}">
              <a16:creationId xmlns:a16="http://schemas.microsoft.com/office/drawing/2014/main" id="{4DD2A76C-9595-C400-28A3-09E27B545206}"/>
            </a:ext>
          </a:extLst>
        </xdr:cNvPr>
        <xdr:cNvCxnSpPr/>
      </xdr:nvCxnSpPr>
      <xdr:spPr>
        <a:xfrm flipH="1">
          <a:off x="13527664851" y="34148888"/>
          <a:ext cx="254689" cy="3269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602303</xdr:colOff>
      <xdr:row>168</xdr:row>
      <xdr:rowOff>3442</xdr:rowOff>
    </xdr:from>
    <xdr:to>
      <xdr:col>6</xdr:col>
      <xdr:colOff>161762</xdr:colOff>
      <xdr:row>171</xdr:row>
      <xdr:rowOff>30976</xdr:rowOff>
    </xdr:to>
    <xdr:cxnSp macro="">
      <xdr:nvCxnSpPr>
        <xdr:cNvPr id="25" name="Straight Arrow Connector 24">
          <a:extLst>
            <a:ext uri="{FF2B5EF4-FFF2-40B4-BE49-F238E27FC236}">
              <a16:creationId xmlns:a16="http://schemas.microsoft.com/office/drawing/2014/main" id="{E88E9843-3F52-23C1-48DE-7E5252C8856F}"/>
            </a:ext>
          </a:extLst>
        </xdr:cNvPr>
        <xdr:cNvCxnSpPr/>
      </xdr:nvCxnSpPr>
      <xdr:spPr>
        <a:xfrm flipH="1">
          <a:off x="13528332547" y="34186748"/>
          <a:ext cx="385476" cy="63672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247</xdr:row>
      <xdr:rowOff>204968</xdr:rowOff>
    </xdr:from>
    <xdr:to>
      <xdr:col>1</xdr:col>
      <xdr:colOff>579518</xdr:colOff>
      <xdr:row>251</xdr:row>
      <xdr:rowOff>159300</xdr:rowOff>
    </xdr:to>
    <xdr:pic>
      <xdr:nvPicPr>
        <xdr:cNvPr id="27" name="Picture 26">
          <a:extLst>
            <a:ext uri="{FF2B5EF4-FFF2-40B4-BE49-F238E27FC236}">
              <a16:creationId xmlns:a16="http://schemas.microsoft.com/office/drawing/2014/main" id="{A2C8F0BA-D615-124E-867F-3771232206A1}"/>
            </a:ext>
          </a:extLst>
        </xdr:cNvPr>
        <xdr:cNvPicPr>
          <a:picLocks noChangeAspect="1"/>
        </xdr:cNvPicPr>
      </xdr:nvPicPr>
      <xdr:blipFill>
        <a:blip xmlns:r="http://schemas.openxmlformats.org/officeDocument/2006/relationships" r:embed="rId1"/>
        <a:stretch>
          <a:fillRect/>
        </a:stretch>
      </xdr:blipFill>
      <xdr:spPr>
        <a:xfrm>
          <a:off x="13497249755" y="50964778"/>
          <a:ext cx="1403410" cy="774206"/>
        </a:xfrm>
        <a:prstGeom prst="rect">
          <a:avLst/>
        </a:prstGeom>
      </xdr:spPr>
    </xdr:pic>
    <xdr:clientData/>
  </xdr:twoCellAnchor>
  <xdr:twoCellAnchor>
    <xdr:from>
      <xdr:col>12</xdr:col>
      <xdr:colOff>166558</xdr:colOff>
      <xdr:row>291</xdr:row>
      <xdr:rowOff>145738</xdr:rowOff>
    </xdr:from>
    <xdr:to>
      <xdr:col>12</xdr:col>
      <xdr:colOff>428886</xdr:colOff>
      <xdr:row>292</xdr:row>
      <xdr:rowOff>45803</xdr:rowOff>
    </xdr:to>
    <xdr:sp macro="" textlink="">
      <xdr:nvSpPr>
        <xdr:cNvPr id="29" name="Left Arrow 28">
          <a:extLst>
            <a:ext uri="{FF2B5EF4-FFF2-40B4-BE49-F238E27FC236}">
              <a16:creationId xmlns:a16="http://schemas.microsoft.com/office/drawing/2014/main" id="{9CCE9114-EA17-18D1-2AD7-96C83EB3B175}"/>
            </a:ext>
          </a:extLst>
        </xdr:cNvPr>
        <xdr:cNvSpPr/>
      </xdr:nvSpPr>
      <xdr:spPr>
        <a:xfrm>
          <a:off x="13497614131" y="59719148"/>
          <a:ext cx="262328" cy="104098"/>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14</xdr:col>
      <xdr:colOff>653738</xdr:colOff>
      <xdr:row>259</xdr:row>
      <xdr:rowOff>191541</xdr:rowOff>
    </xdr:from>
    <xdr:to>
      <xdr:col>15</xdr:col>
      <xdr:colOff>124919</xdr:colOff>
      <xdr:row>260</xdr:row>
      <xdr:rowOff>154065</xdr:rowOff>
    </xdr:to>
    <xdr:cxnSp macro="">
      <xdr:nvCxnSpPr>
        <xdr:cNvPr id="31" name="Straight Arrow Connector 30">
          <a:extLst>
            <a:ext uri="{FF2B5EF4-FFF2-40B4-BE49-F238E27FC236}">
              <a16:creationId xmlns:a16="http://schemas.microsoft.com/office/drawing/2014/main" id="{2D6F2C95-4DC9-5FAD-93E2-688F7963D7FE}"/>
            </a:ext>
          </a:extLst>
        </xdr:cNvPr>
        <xdr:cNvCxnSpPr/>
      </xdr:nvCxnSpPr>
      <xdr:spPr>
        <a:xfrm flipH="1">
          <a:off x="13495444721" y="53210918"/>
          <a:ext cx="295640" cy="16655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762000</xdr:colOff>
      <xdr:row>259</xdr:row>
      <xdr:rowOff>199869</xdr:rowOff>
    </xdr:from>
    <xdr:to>
      <xdr:col>13</xdr:col>
      <xdr:colOff>803640</xdr:colOff>
      <xdr:row>261</xdr:row>
      <xdr:rowOff>91606</xdr:rowOff>
    </xdr:to>
    <xdr:cxnSp macro="">
      <xdr:nvCxnSpPr>
        <xdr:cNvPr id="32" name="Straight Arrow Connector 31">
          <a:extLst>
            <a:ext uri="{FF2B5EF4-FFF2-40B4-BE49-F238E27FC236}">
              <a16:creationId xmlns:a16="http://schemas.microsoft.com/office/drawing/2014/main" id="{F05BF266-BDC8-EBD3-F0EF-4C1D99DDBFDA}"/>
            </a:ext>
          </a:extLst>
        </xdr:cNvPr>
        <xdr:cNvCxnSpPr/>
      </xdr:nvCxnSpPr>
      <xdr:spPr>
        <a:xfrm flipH="1">
          <a:off x="13496414918" y="53219246"/>
          <a:ext cx="41640" cy="29980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214346</xdr:colOff>
      <xdr:row>83</xdr:row>
      <xdr:rowOff>133967</xdr:rowOff>
    </xdr:from>
    <xdr:to>
      <xdr:col>6</xdr:col>
      <xdr:colOff>546583</xdr:colOff>
      <xdr:row>89</xdr:row>
      <xdr:rowOff>156385</xdr:rowOff>
    </xdr:to>
    <xdr:pic>
      <xdr:nvPicPr>
        <xdr:cNvPr id="2" name="Picture 1">
          <a:extLst>
            <a:ext uri="{FF2B5EF4-FFF2-40B4-BE49-F238E27FC236}">
              <a16:creationId xmlns:a16="http://schemas.microsoft.com/office/drawing/2014/main" id="{48E00936-094C-7B9F-CF0E-EFFFD22C7747}"/>
            </a:ext>
          </a:extLst>
        </xdr:cNvPr>
        <xdr:cNvPicPr>
          <a:picLocks noChangeAspect="1"/>
        </xdr:cNvPicPr>
      </xdr:nvPicPr>
      <xdr:blipFill>
        <a:blip xmlns:r="http://schemas.openxmlformats.org/officeDocument/2006/relationships" r:embed="rId1"/>
        <a:stretch>
          <a:fillRect/>
        </a:stretch>
      </xdr:blipFill>
      <xdr:spPr>
        <a:xfrm>
          <a:off x="13515104219" y="16049157"/>
          <a:ext cx="7137722" cy="1244190"/>
        </a:xfrm>
        <a:prstGeom prst="rect">
          <a:avLst/>
        </a:prstGeom>
      </xdr:spPr>
    </xdr:pic>
    <xdr:clientData/>
  </xdr:twoCellAnchor>
  <xdr:twoCellAnchor editAs="oneCell">
    <xdr:from>
      <xdr:col>0</xdr:col>
      <xdr:colOff>0</xdr:colOff>
      <xdr:row>113</xdr:row>
      <xdr:rowOff>0</xdr:rowOff>
    </xdr:from>
    <xdr:to>
      <xdr:col>7</xdr:col>
      <xdr:colOff>137746</xdr:colOff>
      <xdr:row>119</xdr:row>
      <xdr:rowOff>75417</xdr:rowOff>
    </xdr:to>
    <xdr:pic>
      <xdr:nvPicPr>
        <xdr:cNvPr id="3" name="Picture 2">
          <a:extLst>
            <a:ext uri="{FF2B5EF4-FFF2-40B4-BE49-F238E27FC236}">
              <a16:creationId xmlns:a16="http://schemas.microsoft.com/office/drawing/2014/main" id="{356C688A-FB7C-AEF6-7A77-94670CB9A2B7}"/>
            </a:ext>
          </a:extLst>
        </xdr:cNvPr>
        <xdr:cNvPicPr>
          <a:picLocks noChangeAspect="1"/>
        </xdr:cNvPicPr>
      </xdr:nvPicPr>
      <xdr:blipFill>
        <a:blip xmlns:r="http://schemas.openxmlformats.org/officeDocument/2006/relationships" r:embed="rId2"/>
        <a:stretch>
          <a:fillRect/>
        </a:stretch>
      </xdr:blipFill>
      <xdr:spPr>
        <a:xfrm>
          <a:off x="13519075754" y="22205462"/>
          <a:ext cx="7772400" cy="1306340"/>
        </a:xfrm>
        <a:prstGeom prst="rect">
          <a:avLst/>
        </a:prstGeom>
      </xdr:spPr>
    </xdr:pic>
    <xdr:clientData/>
  </xdr:twoCellAnchor>
  <xdr:twoCellAnchor editAs="oneCell">
    <xdr:from>
      <xdr:col>0</xdr:col>
      <xdr:colOff>0</xdr:colOff>
      <xdr:row>171</xdr:row>
      <xdr:rowOff>63500</xdr:rowOff>
    </xdr:from>
    <xdr:to>
      <xdr:col>7</xdr:col>
      <xdr:colOff>137746</xdr:colOff>
      <xdr:row>176</xdr:row>
      <xdr:rowOff>97310</xdr:rowOff>
    </xdr:to>
    <xdr:pic>
      <xdr:nvPicPr>
        <xdr:cNvPr id="4" name="Picture 3">
          <a:extLst>
            <a:ext uri="{FF2B5EF4-FFF2-40B4-BE49-F238E27FC236}">
              <a16:creationId xmlns:a16="http://schemas.microsoft.com/office/drawing/2014/main" id="{F9C8B0B5-F626-73CB-0C0D-A0B8AF7E2AA4}"/>
            </a:ext>
          </a:extLst>
        </xdr:cNvPr>
        <xdr:cNvPicPr>
          <a:picLocks noChangeAspect="1"/>
        </xdr:cNvPicPr>
      </xdr:nvPicPr>
      <xdr:blipFill>
        <a:blip xmlns:r="http://schemas.openxmlformats.org/officeDocument/2006/relationships" r:embed="rId3"/>
        <a:stretch>
          <a:fillRect/>
        </a:stretch>
      </xdr:blipFill>
      <xdr:spPr>
        <a:xfrm>
          <a:off x="13519075754" y="35457423"/>
          <a:ext cx="7772400" cy="1059579"/>
        </a:xfrm>
        <a:prstGeom prst="rect">
          <a:avLst/>
        </a:prstGeom>
      </xdr:spPr>
    </xdr:pic>
    <xdr:clientData/>
  </xdr:twoCellAnchor>
  <xdr:twoCellAnchor editAs="oneCell">
    <xdr:from>
      <xdr:col>0</xdr:col>
      <xdr:colOff>0</xdr:colOff>
      <xdr:row>190</xdr:row>
      <xdr:rowOff>14825</xdr:rowOff>
    </xdr:from>
    <xdr:to>
      <xdr:col>7</xdr:col>
      <xdr:colOff>137575</xdr:colOff>
      <xdr:row>194</xdr:row>
      <xdr:rowOff>154</xdr:rowOff>
    </xdr:to>
    <xdr:pic>
      <xdr:nvPicPr>
        <xdr:cNvPr id="5" name="Picture 4">
          <a:extLst>
            <a:ext uri="{FF2B5EF4-FFF2-40B4-BE49-F238E27FC236}">
              <a16:creationId xmlns:a16="http://schemas.microsoft.com/office/drawing/2014/main" id="{1F9560D7-4152-E77A-2509-A5BA5E38E0C3}"/>
            </a:ext>
          </a:extLst>
        </xdr:cNvPr>
        <xdr:cNvPicPr>
          <a:picLocks noChangeAspect="1"/>
        </xdr:cNvPicPr>
      </xdr:nvPicPr>
      <xdr:blipFill>
        <a:blip xmlns:r="http://schemas.openxmlformats.org/officeDocument/2006/relationships" r:embed="rId4"/>
        <a:stretch>
          <a:fillRect/>
        </a:stretch>
      </xdr:blipFill>
      <xdr:spPr>
        <a:xfrm>
          <a:off x="13515029468" y="39029027"/>
          <a:ext cx="7772400" cy="79283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25397</xdr:colOff>
      <xdr:row>47</xdr:row>
      <xdr:rowOff>167303</xdr:rowOff>
    </xdr:from>
    <xdr:to>
      <xdr:col>11</xdr:col>
      <xdr:colOff>176933</xdr:colOff>
      <xdr:row>55</xdr:row>
      <xdr:rowOff>194830</xdr:rowOff>
    </xdr:to>
    <xdr:pic>
      <xdr:nvPicPr>
        <xdr:cNvPr id="2" name="Picture 1" descr="Save big money on an M1 MacBook Air on Amazon | Macworld">
          <a:extLst>
            <a:ext uri="{FF2B5EF4-FFF2-40B4-BE49-F238E27FC236}">
              <a16:creationId xmlns:a16="http://schemas.microsoft.com/office/drawing/2014/main" id="{2EA059A0-1D41-0A47-B200-DD9EA0D716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68476134" y="9966508"/>
          <a:ext cx="2619378" cy="1744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56</xdr:row>
      <xdr:rowOff>78867</xdr:rowOff>
    </xdr:from>
    <xdr:to>
      <xdr:col>10</xdr:col>
      <xdr:colOff>19627</xdr:colOff>
      <xdr:row>66</xdr:row>
      <xdr:rowOff>175491</xdr:rowOff>
    </xdr:to>
    <xdr:pic>
      <xdr:nvPicPr>
        <xdr:cNvPr id="3" name="Picture 2">
          <a:extLst>
            <a:ext uri="{FF2B5EF4-FFF2-40B4-BE49-F238E27FC236}">
              <a16:creationId xmlns:a16="http://schemas.microsoft.com/office/drawing/2014/main" id="{320165B1-4063-8E4C-9C9D-E23459B9CE1C}"/>
            </a:ext>
          </a:extLst>
        </xdr:cNvPr>
        <xdr:cNvPicPr>
          <a:picLocks noChangeAspect="1"/>
        </xdr:cNvPicPr>
      </xdr:nvPicPr>
      <xdr:blipFill>
        <a:blip xmlns:r="http://schemas.openxmlformats.org/officeDocument/2006/relationships" r:embed="rId2"/>
        <a:stretch>
          <a:fillRect/>
        </a:stretch>
      </xdr:blipFill>
      <xdr:spPr>
        <a:xfrm>
          <a:off x="13469456054" y="11797503"/>
          <a:ext cx="1664855" cy="211707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815311</xdr:colOff>
      <xdr:row>31</xdr:row>
      <xdr:rowOff>155676</xdr:rowOff>
    </xdr:from>
    <xdr:to>
      <xdr:col>2</xdr:col>
      <xdr:colOff>512506</xdr:colOff>
      <xdr:row>34</xdr:row>
      <xdr:rowOff>195825</xdr:rowOff>
    </xdr:to>
    <xdr:pic>
      <xdr:nvPicPr>
        <xdr:cNvPr id="2" name="Picture 1">
          <a:extLst>
            <a:ext uri="{FF2B5EF4-FFF2-40B4-BE49-F238E27FC236}">
              <a16:creationId xmlns:a16="http://schemas.microsoft.com/office/drawing/2014/main" id="{83AFAF70-9147-0424-966E-1898B4C15BBF}"/>
            </a:ext>
          </a:extLst>
        </xdr:cNvPr>
        <xdr:cNvPicPr>
          <a:picLocks noChangeAspect="1"/>
        </xdr:cNvPicPr>
      </xdr:nvPicPr>
      <xdr:blipFill>
        <a:blip xmlns:r="http://schemas.openxmlformats.org/officeDocument/2006/relationships" r:embed="rId1"/>
        <a:stretch>
          <a:fillRect/>
        </a:stretch>
      </xdr:blipFill>
      <xdr:spPr>
        <a:xfrm>
          <a:off x="13556385171" y="6505676"/>
          <a:ext cx="524744" cy="654665"/>
        </a:xfrm>
        <a:prstGeom prst="rect">
          <a:avLst/>
        </a:prstGeom>
      </xdr:spPr>
    </xdr:pic>
    <xdr:clientData/>
  </xdr:twoCellAnchor>
  <xdr:twoCellAnchor editAs="oneCell">
    <xdr:from>
      <xdr:col>3</xdr:col>
      <xdr:colOff>268087</xdr:colOff>
      <xdr:row>30</xdr:row>
      <xdr:rowOff>35417</xdr:rowOff>
    </xdr:from>
    <xdr:to>
      <xdr:col>3</xdr:col>
      <xdr:colOff>694971</xdr:colOff>
      <xdr:row>32</xdr:row>
      <xdr:rowOff>55049</xdr:rowOff>
    </xdr:to>
    <xdr:pic>
      <xdr:nvPicPr>
        <xdr:cNvPr id="3" name="Picture 2">
          <a:extLst>
            <a:ext uri="{FF2B5EF4-FFF2-40B4-BE49-F238E27FC236}">
              <a16:creationId xmlns:a16="http://schemas.microsoft.com/office/drawing/2014/main" id="{4AE8134F-8D4E-F300-F016-281410245B74}"/>
            </a:ext>
          </a:extLst>
        </xdr:cNvPr>
        <xdr:cNvPicPr>
          <a:picLocks noChangeAspect="1"/>
        </xdr:cNvPicPr>
      </xdr:nvPicPr>
      <xdr:blipFill>
        <a:blip xmlns:r="http://schemas.openxmlformats.org/officeDocument/2006/relationships" r:embed="rId2"/>
        <a:stretch>
          <a:fillRect/>
        </a:stretch>
      </xdr:blipFill>
      <xdr:spPr>
        <a:xfrm>
          <a:off x="13503571520" y="6146695"/>
          <a:ext cx="426884" cy="427051"/>
        </a:xfrm>
        <a:prstGeom prst="rect">
          <a:avLst/>
        </a:prstGeom>
      </xdr:spPr>
    </xdr:pic>
    <xdr:clientData/>
  </xdr:twoCellAnchor>
  <xdr:twoCellAnchor editAs="oneCell">
    <xdr:from>
      <xdr:col>7</xdr:col>
      <xdr:colOff>3182</xdr:colOff>
      <xdr:row>30</xdr:row>
      <xdr:rowOff>184611</xdr:rowOff>
    </xdr:from>
    <xdr:to>
      <xdr:col>7</xdr:col>
      <xdr:colOff>802677</xdr:colOff>
      <xdr:row>34</xdr:row>
      <xdr:rowOff>169269</xdr:rowOff>
    </xdr:to>
    <xdr:pic>
      <xdr:nvPicPr>
        <xdr:cNvPr id="4" name="Picture 3">
          <a:extLst>
            <a:ext uri="{FF2B5EF4-FFF2-40B4-BE49-F238E27FC236}">
              <a16:creationId xmlns:a16="http://schemas.microsoft.com/office/drawing/2014/main" id="{626D232B-BA1A-9019-53F2-6677D5CD30B1}"/>
            </a:ext>
          </a:extLst>
        </xdr:cNvPr>
        <xdr:cNvPicPr>
          <a:picLocks noChangeAspect="1"/>
        </xdr:cNvPicPr>
      </xdr:nvPicPr>
      <xdr:blipFill>
        <a:blip xmlns:r="http://schemas.openxmlformats.org/officeDocument/2006/relationships" r:embed="rId3"/>
        <a:stretch>
          <a:fillRect/>
        </a:stretch>
      </xdr:blipFill>
      <xdr:spPr>
        <a:xfrm>
          <a:off x="13500166270" y="6295889"/>
          <a:ext cx="799495" cy="799495"/>
        </a:xfrm>
        <a:prstGeom prst="rect">
          <a:avLst/>
        </a:prstGeom>
      </xdr:spPr>
    </xdr:pic>
    <xdr:clientData/>
  </xdr:twoCellAnchor>
  <xdr:twoCellAnchor>
    <xdr:from>
      <xdr:col>7</xdr:col>
      <xdr:colOff>622408</xdr:colOff>
      <xdr:row>107</xdr:row>
      <xdr:rowOff>43173</xdr:rowOff>
    </xdr:from>
    <xdr:to>
      <xdr:col>7</xdr:col>
      <xdr:colOff>622408</xdr:colOff>
      <xdr:row>109</xdr:row>
      <xdr:rowOff>143909</xdr:rowOff>
    </xdr:to>
    <xdr:cxnSp macro="">
      <xdr:nvCxnSpPr>
        <xdr:cNvPr id="6" name="Straight Arrow Connector 5">
          <a:extLst>
            <a:ext uri="{FF2B5EF4-FFF2-40B4-BE49-F238E27FC236}">
              <a16:creationId xmlns:a16="http://schemas.microsoft.com/office/drawing/2014/main" id="{B7955C79-0348-9A01-01C2-016810596770}"/>
            </a:ext>
          </a:extLst>
        </xdr:cNvPr>
        <xdr:cNvCxnSpPr/>
      </xdr:nvCxnSpPr>
      <xdr:spPr>
        <a:xfrm>
          <a:off x="13492077054" y="23072266"/>
          <a:ext cx="0" cy="50368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64760</xdr:colOff>
      <xdr:row>106</xdr:row>
      <xdr:rowOff>147508</xdr:rowOff>
    </xdr:from>
    <xdr:to>
      <xdr:col>7</xdr:col>
      <xdr:colOff>248245</xdr:colOff>
      <xdr:row>107</xdr:row>
      <xdr:rowOff>104335</xdr:rowOff>
    </xdr:to>
    <xdr:sp macro="" textlink="">
      <xdr:nvSpPr>
        <xdr:cNvPr id="7" name="Left Brace 6">
          <a:extLst>
            <a:ext uri="{FF2B5EF4-FFF2-40B4-BE49-F238E27FC236}">
              <a16:creationId xmlns:a16="http://schemas.microsoft.com/office/drawing/2014/main" id="{E285CD45-3AF6-2FBA-2E4D-482577B8E200}"/>
            </a:ext>
          </a:extLst>
        </xdr:cNvPr>
        <xdr:cNvSpPr/>
      </xdr:nvSpPr>
      <xdr:spPr>
        <a:xfrm rot="16200000">
          <a:off x="13493287691" y="22138654"/>
          <a:ext cx="158300" cy="1831247"/>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r" rtl="1"/>
          <a:endParaRPr lang="en-US" sz="1100" kern="1200"/>
        </a:p>
      </xdr:txBody>
    </xdr:sp>
    <xdr:clientData/>
  </xdr:twoCellAnchor>
  <xdr:twoCellAnchor>
    <xdr:from>
      <xdr:col>6</xdr:col>
      <xdr:colOff>154703</xdr:colOff>
      <xdr:row>107</xdr:row>
      <xdr:rowOff>64760</xdr:rowOff>
    </xdr:from>
    <xdr:to>
      <xdr:col>6</xdr:col>
      <xdr:colOff>165496</xdr:colOff>
      <xdr:row>111</xdr:row>
      <xdr:rowOff>89943</xdr:rowOff>
    </xdr:to>
    <xdr:cxnSp macro="">
      <xdr:nvCxnSpPr>
        <xdr:cNvPr id="8" name="Straight Arrow Connector 7">
          <a:extLst>
            <a:ext uri="{FF2B5EF4-FFF2-40B4-BE49-F238E27FC236}">
              <a16:creationId xmlns:a16="http://schemas.microsoft.com/office/drawing/2014/main" id="{B8AC82B6-00C3-9EC6-3BC2-6C5FA13C8A40}"/>
            </a:ext>
          </a:extLst>
        </xdr:cNvPr>
        <xdr:cNvCxnSpPr/>
      </xdr:nvCxnSpPr>
      <xdr:spPr>
        <a:xfrm flipH="1">
          <a:off x="13493357847" y="23093853"/>
          <a:ext cx="10793" cy="8310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473364</xdr:colOff>
      <xdr:row>139</xdr:row>
      <xdr:rowOff>34636</xdr:rowOff>
    </xdr:from>
    <xdr:to>
      <xdr:col>6</xdr:col>
      <xdr:colOff>581122</xdr:colOff>
      <xdr:row>140</xdr:row>
      <xdr:rowOff>50031</xdr:rowOff>
    </xdr:to>
    <xdr:cxnSp macro="">
      <xdr:nvCxnSpPr>
        <xdr:cNvPr id="11" name="Straight Arrow Connector 10">
          <a:extLst>
            <a:ext uri="{FF2B5EF4-FFF2-40B4-BE49-F238E27FC236}">
              <a16:creationId xmlns:a16="http://schemas.microsoft.com/office/drawing/2014/main" id="{ED452C9D-B0CB-00D9-2857-0000E5E2DFEC}"/>
            </a:ext>
          </a:extLst>
        </xdr:cNvPr>
        <xdr:cNvCxnSpPr/>
      </xdr:nvCxnSpPr>
      <xdr:spPr>
        <a:xfrm flipV="1">
          <a:off x="13550973121" y="29845000"/>
          <a:ext cx="107758" cy="21936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688879</xdr:colOff>
      <xdr:row>140</xdr:row>
      <xdr:rowOff>196273</xdr:rowOff>
    </xdr:from>
    <xdr:to>
      <xdr:col>5</xdr:col>
      <xdr:colOff>746606</xdr:colOff>
      <xdr:row>143</xdr:row>
      <xdr:rowOff>88516</xdr:rowOff>
    </xdr:to>
    <xdr:cxnSp macro="">
      <xdr:nvCxnSpPr>
        <xdr:cNvPr id="14" name="Straight Arrow Connector 13">
          <a:extLst>
            <a:ext uri="{FF2B5EF4-FFF2-40B4-BE49-F238E27FC236}">
              <a16:creationId xmlns:a16="http://schemas.microsoft.com/office/drawing/2014/main" id="{82B2E219-357E-921D-1C1B-18D9B4F421C3}"/>
            </a:ext>
          </a:extLst>
        </xdr:cNvPr>
        <xdr:cNvCxnSpPr/>
      </xdr:nvCxnSpPr>
      <xdr:spPr>
        <a:xfrm>
          <a:off x="13551635061" y="30210606"/>
          <a:ext cx="885151" cy="50415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180881</xdr:colOff>
      <xdr:row>141</xdr:row>
      <xdr:rowOff>165486</xdr:rowOff>
    </xdr:from>
    <xdr:to>
      <xdr:col>5</xdr:col>
      <xdr:colOff>812033</xdr:colOff>
      <xdr:row>142</xdr:row>
      <xdr:rowOff>80819</xdr:rowOff>
    </xdr:to>
    <xdr:sp macro="" textlink="">
      <xdr:nvSpPr>
        <xdr:cNvPr id="15" name="Rectangle 14">
          <a:extLst>
            <a:ext uri="{FF2B5EF4-FFF2-40B4-BE49-F238E27FC236}">
              <a16:creationId xmlns:a16="http://schemas.microsoft.com/office/drawing/2014/main" id="{F717036E-9F57-659F-26B5-B51496A01C85}"/>
            </a:ext>
          </a:extLst>
        </xdr:cNvPr>
        <xdr:cNvSpPr/>
      </xdr:nvSpPr>
      <xdr:spPr>
        <a:xfrm rot="1755831">
          <a:off x="13551569634" y="30383789"/>
          <a:ext cx="631152" cy="119303"/>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he-IL" sz="700" kern="1200"/>
            <a:t>פחת נצבר</a:t>
          </a:r>
          <a:endParaRPr lang="en-US" sz="700" kern="1200"/>
        </a:p>
      </xdr:txBody>
    </xdr:sp>
    <xdr:clientData/>
  </xdr:twoCellAnchor>
  <xdr:twoCellAnchor>
    <xdr:from>
      <xdr:col>8</xdr:col>
      <xdr:colOff>769697</xdr:colOff>
      <xdr:row>128</xdr:row>
      <xdr:rowOff>30788</xdr:rowOff>
    </xdr:from>
    <xdr:to>
      <xdr:col>9</xdr:col>
      <xdr:colOff>119303</xdr:colOff>
      <xdr:row>129</xdr:row>
      <xdr:rowOff>30788</xdr:rowOff>
    </xdr:to>
    <xdr:cxnSp macro="">
      <xdr:nvCxnSpPr>
        <xdr:cNvPr id="16" name="Straight Arrow Connector 15">
          <a:extLst>
            <a:ext uri="{FF2B5EF4-FFF2-40B4-BE49-F238E27FC236}">
              <a16:creationId xmlns:a16="http://schemas.microsoft.com/office/drawing/2014/main" id="{F86B0A77-939C-6BB6-8D58-B6EDABF7B348}"/>
            </a:ext>
          </a:extLst>
        </xdr:cNvPr>
        <xdr:cNvCxnSpPr/>
      </xdr:nvCxnSpPr>
      <xdr:spPr>
        <a:xfrm flipH="1" flipV="1">
          <a:off x="13548952667" y="27597485"/>
          <a:ext cx="177030" cy="2039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407939</xdr:colOff>
      <xdr:row>128</xdr:row>
      <xdr:rowOff>38485</xdr:rowOff>
    </xdr:from>
    <xdr:to>
      <xdr:col>8</xdr:col>
      <xdr:colOff>592666</xdr:colOff>
      <xdr:row>129</xdr:row>
      <xdr:rowOff>23091</xdr:rowOff>
    </xdr:to>
    <xdr:cxnSp macro="">
      <xdr:nvCxnSpPr>
        <xdr:cNvPr id="18" name="Straight Arrow Connector 17">
          <a:extLst>
            <a:ext uri="{FF2B5EF4-FFF2-40B4-BE49-F238E27FC236}">
              <a16:creationId xmlns:a16="http://schemas.microsoft.com/office/drawing/2014/main" id="{D02280E8-A125-DA2A-5AE4-D5FABEB3AAEB}"/>
            </a:ext>
          </a:extLst>
        </xdr:cNvPr>
        <xdr:cNvCxnSpPr/>
      </xdr:nvCxnSpPr>
      <xdr:spPr>
        <a:xfrm flipV="1">
          <a:off x="13549306728" y="27605182"/>
          <a:ext cx="184727" cy="1885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person displayName="Shay Tsaban" id="{E5089F03-0C50-DB41-BBB7-60C32976FD3C}" userId="S::shayt@yvc.ac.il::41360316-5da5-4cfb-8772-7f9fa7e0610b"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15" dT="2024-03-04T07:32:08.47" personId="{E5089F03-0C50-DB41-BBB7-60C32976FD3C}" id="{42E83108-99E1-0942-BDB0-A0EDC803B34C}">
    <text>עלות היסטורית - סך הסכום ששולם בעד המכונות 900 כולל הובלה 100 סהכ 1,000</text>
  </threadedComment>
  <threadedComment ref="C416" dT="2024-03-04T07:41:55.50" personId="{E5089F03-0C50-DB41-BBB7-60C32976FD3C}" id="{04E53DFE-0FAF-5648-85D4-EFDD57943A99}">
    <text xml:space="preserve">הפריט עלה 1,000, מופחת על פני 10 שנים ללא גרט - חילקנו ב-10, וכפלנו בזמן שחלף מזמינות לשימוש 31.3.2019 עד 1.1.2020 כלומר 9 חודשים </text>
  </threadedComment>
  <threadedComment ref="C678" dT="2024-03-04T08:34:37.54" personId="{E5089F03-0C50-DB41-BBB7-60C32976FD3C}" id="{C4465232-A142-1D4D-8F8C-57979B275B74}">
    <text>מהיתרה המקורית 50 בתוספת 22 מכירה באשראי שלא נרשמה</text>
  </threadedComment>
  <threadedComment ref="F679" dT="2024-03-04T08:35:30.63" personId="{E5089F03-0C50-DB41-BBB7-60C32976FD3C}" id="{976E9746-2CAD-B846-9095-D68A9468734A}">
    <text>מכירות מקוריות 400 בתוספת מכירה נוספת - אירוע ג - 22</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youtu.be/yBkNCQvDNCw"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youtu.be/yBkNCQvDNCw"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youtu.be/WBmwt2wrMco"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2.xml"/><Relationship Id="rId4" Type="http://schemas.microsoft.com/office/2017/10/relationships/threadedComment" Target="../threadedComments/threadedComment1.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2EFFC-ACDB-8844-AEF9-9DCF7DB808B0}">
  <dimension ref="A1:H33"/>
  <sheetViews>
    <sheetView rightToLeft="1" zoomScale="287" zoomScaleNormal="200" zoomScaleSheetLayoutView="100" workbookViewId="0">
      <selection sqref="A1:H7"/>
    </sheetView>
  </sheetViews>
  <sheetFormatPr baseColWidth="10" defaultRowHeight="16" x14ac:dyDescent="0.2"/>
  <cols>
    <col min="1" max="16384" width="10.83203125" style="1"/>
  </cols>
  <sheetData>
    <row r="1" spans="1:8" x14ac:dyDescent="0.2">
      <c r="A1" s="18" t="s">
        <v>2246</v>
      </c>
      <c r="B1" s="100" t="s">
        <v>2830</v>
      </c>
      <c r="C1" s="100"/>
      <c r="D1" s="100"/>
      <c r="E1" s="100"/>
      <c r="F1" s="100"/>
      <c r="G1" s="100"/>
      <c r="H1" s="19"/>
    </row>
    <row r="2" spans="1:8" x14ac:dyDescent="0.2">
      <c r="A2" s="106" t="s">
        <v>2247</v>
      </c>
      <c r="C2" s="1" t="s">
        <v>2248</v>
      </c>
      <c r="D2" s="1" t="s">
        <v>2249</v>
      </c>
      <c r="H2" s="107"/>
    </row>
    <row r="3" spans="1:8" x14ac:dyDescent="0.2">
      <c r="A3" s="106" t="s">
        <v>2250</v>
      </c>
      <c r="C3" s="1" t="s">
        <v>2251</v>
      </c>
      <c r="D3" s="1" t="s">
        <v>2252</v>
      </c>
      <c r="H3" s="107"/>
    </row>
    <row r="4" spans="1:8" x14ac:dyDescent="0.2">
      <c r="A4" s="106"/>
      <c r="H4" s="107"/>
    </row>
    <row r="5" spans="1:8" x14ac:dyDescent="0.2">
      <c r="A5" s="106" t="s">
        <v>2253</v>
      </c>
      <c r="H5" s="107"/>
    </row>
    <row r="6" spans="1:8" x14ac:dyDescent="0.2">
      <c r="A6" s="106"/>
      <c r="H6" s="107"/>
    </row>
    <row r="7" spans="1:8" ht="17" thickBot="1" x14ac:dyDescent="0.25">
      <c r="A7" s="20" t="s">
        <v>2254</v>
      </c>
      <c r="B7" s="103"/>
      <c r="C7" s="103"/>
      <c r="D7" s="103"/>
      <c r="E7" s="103"/>
      <c r="F7" s="103"/>
      <c r="G7" s="103"/>
      <c r="H7" s="21"/>
    </row>
    <row r="9" spans="1:8" x14ac:dyDescent="0.2">
      <c r="A9" s="1" t="s">
        <v>1547</v>
      </c>
    </row>
    <row r="10" spans="1:8" ht="17" thickBot="1" x14ac:dyDescent="0.25"/>
    <row r="11" spans="1:8" x14ac:dyDescent="0.2">
      <c r="A11" s="18" t="s">
        <v>1544</v>
      </c>
      <c r="B11" s="100" t="s">
        <v>621</v>
      </c>
      <c r="C11" s="100" t="s">
        <v>1545</v>
      </c>
      <c r="D11" s="100"/>
      <c r="E11" s="100"/>
      <c r="F11" s="100" t="s">
        <v>1546</v>
      </c>
      <c r="G11" s="100"/>
      <c r="H11" s="19"/>
    </row>
    <row r="12" spans="1:8" x14ac:dyDescent="0.2">
      <c r="A12" s="106">
        <v>1</v>
      </c>
      <c r="B12" s="120"/>
      <c r="H12" s="107"/>
    </row>
    <row r="13" spans="1:8" x14ac:dyDescent="0.2">
      <c r="A13" s="106"/>
      <c r="H13" s="107"/>
    </row>
    <row r="14" spans="1:8" ht="17" thickBot="1" x14ac:dyDescent="0.25">
      <c r="A14" s="20"/>
      <c r="B14" s="103"/>
      <c r="C14" s="103"/>
      <c r="D14" s="103"/>
      <c r="E14" s="103"/>
      <c r="F14" s="103"/>
      <c r="G14" s="103"/>
      <c r="H14" s="21"/>
    </row>
    <row r="15" spans="1:8" x14ac:dyDescent="0.2">
      <c r="A15" s="18">
        <v>2</v>
      </c>
      <c r="B15" s="251"/>
      <c r="C15" s="100"/>
      <c r="D15" s="100"/>
      <c r="E15" s="100"/>
      <c r="F15" s="100"/>
      <c r="G15" s="100"/>
      <c r="H15" s="19"/>
    </row>
    <row r="16" spans="1:8" x14ac:dyDescent="0.2">
      <c r="A16" s="106"/>
      <c r="H16" s="107"/>
    </row>
    <row r="17" spans="1:8" ht="17" thickBot="1" x14ac:dyDescent="0.25">
      <c r="A17" s="20"/>
      <c r="B17" s="103"/>
      <c r="C17" s="103"/>
      <c r="D17" s="103"/>
      <c r="E17" s="103"/>
      <c r="F17" s="103"/>
      <c r="G17" s="103"/>
      <c r="H17" s="21"/>
    </row>
    <row r="18" spans="1:8" x14ac:dyDescent="0.2">
      <c r="A18" s="18">
        <v>3</v>
      </c>
      <c r="B18" s="251"/>
      <c r="C18" s="100"/>
      <c r="D18" s="100"/>
      <c r="E18" s="100"/>
      <c r="F18" s="100"/>
      <c r="G18" s="100"/>
      <c r="H18" s="19"/>
    </row>
    <row r="19" spans="1:8" ht="17" thickBot="1" x14ac:dyDescent="0.25">
      <c r="A19" s="20"/>
      <c r="B19" s="277"/>
      <c r="C19" s="103"/>
      <c r="D19" s="103"/>
      <c r="E19" s="103"/>
      <c r="F19" s="103"/>
      <c r="G19" s="103"/>
      <c r="H19" s="21"/>
    </row>
    <row r="20" spans="1:8" x14ac:dyDescent="0.2">
      <c r="A20" s="18">
        <f>A18+1</f>
        <v>4</v>
      </c>
      <c r="B20" s="251"/>
      <c r="C20" s="100"/>
      <c r="D20" s="100"/>
      <c r="E20" s="100"/>
      <c r="F20" s="100"/>
      <c r="G20" s="100"/>
      <c r="H20" s="19"/>
    </row>
    <row r="21" spans="1:8" x14ac:dyDescent="0.2">
      <c r="A21" s="106"/>
      <c r="B21" s="120"/>
      <c r="H21" s="107"/>
    </row>
    <row r="22" spans="1:8" ht="17" thickBot="1" x14ac:dyDescent="0.25">
      <c r="A22" s="20"/>
      <c r="B22" s="277"/>
      <c r="C22" s="103"/>
      <c r="D22" s="103"/>
      <c r="E22" s="103"/>
      <c r="F22" s="103"/>
      <c r="G22" s="103"/>
      <c r="H22" s="21"/>
    </row>
    <row r="23" spans="1:8" x14ac:dyDescent="0.2">
      <c r="A23" s="18">
        <f>A20+1</f>
        <v>5</v>
      </c>
      <c r="B23" s="251"/>
      <c r="C23" s="100"/>
      <c r="D23" s="100"/>
      <c r="E23" s="100"/>
      <c r="F23" s="100"/>
      <c r="G23" s="100"/>
      <c r="H23" s="19"/>
    </row>
    <row r="24" spans="1:8" ht="17" thickBot="1" x14ac:dyDescent="0.25">
      <c r="A24" s="20"/>
      <c r="B24" s="277"/>
      <c r="C24" s="103"/>
      <c r="D24" s="103"/>
      <c r="E24" s="103"/>
      <c r="F24" s="103"/>
      <c r="G24" s="103"/>
      <c r="H24" s="21"/>
    </row>
    <row r="25" spans="1:8" ht="17" thickBot="1" x14ac:dyDescent="0.25">
      <c r="A25" s="146">
        <f>A23+1</f>
        <v>6</v>
      </c>
      <c r="B25" s="291"/>
      <c r="C25" s="121"/>
      <c r="D25" s="121"/>
      <c r="E25" s="121"/>
      <c r="F25" s="121"/>
      <c r="G25" s="121"/>
      <c r="H25" s="147"/>
    </row>
    <row r="26" spans="1:8" ht="17" thickBot="1" x14ac:dyDescent="0.25">
      <c r="A26" s="146">
        <f t="shared" ref="A26:A32" si="0">A25+1</f>
        <v>7</v>
      </c>
      <c r="B26" s="291"/>
      <c r="C26" s="121"/>
      <c r="D26" s="121"/>
      <c r="E26" s="121"/>
      <c r="F26" s="121"/>
      <c r="G26" s="121"/>
      <c r="H26" s="147"/>
    </row>
    <row r="27" spans="1:8" ht="17" thickBot="1" x14ac:dyDescent="0.25">
      <c r="A27" s="146">
        <f t="shared" si="0"/>
        <v>8</v>
      </c>
      <c r="B27" s="291"/>
      <c r="C27" s="121"/>
      <c r="D27" s="121"/>
      <c r="E27" s="121"/>
      <c r="F27" s="121"/>
      <c r="G27" s="121"/>
      <c r="H27" s="147"/>
    </row>
    <row r="28" spans="1:8" ht="17" thickBot="1" x14ac:dyDescent="0.25">
      <c r="A28" s="146">
        <f t="shared" si="0"/>
        <v>9</v>
      </c>
      <c r="B28" s="291"/>
      <c r="C28" s="121"/>
      <c r="D28" s="121"/>
      <c r="E28" s="121"/>
      <c r="F28" s="121"/>
      <c r="G28" s="121"/>
      <c r="H28" s="147"/>
    </row>
    <row r="29" spans="1:8" ht="17" thickBot="1" x14ac:dyDescent="0.25">
      <c r="A29" s="146">
        <f t="shared" si="0"/>
        <v>10</v>
      </c>
      <c r="B29" s="291"/>
      <c r="C29" s="121"/>
      <c r="D29" s="121"/>
      <c r="E29" s="121"/>
      <c r="F29" s="121"/>
      <c r="G29" s="121"/>
      <c r="H29" s="147"/>
    </row>
    <row r="30" spans="1:8" ht="17" thickBot="1" x14ac:dyDescent="0.25">
      <c r="A30" s="146">
        <f t="shared" si="0"/>
        <v>11</v>
      </c>
      <c r="B30" s="291"/>
      <c r="C30" s="121"/>
      <c r="D30" s="121"/>
      <c r="E30" s="121"/>
      <c r="F30" s="121"/>
      <c r="G30" s="121"/>
      <c r="H30" s="147"/>
    </row>
    <row r="31" spans="1:8" ht="17" thickBot="1" x14ac:dyDescent="0.25">
      <c r="A31" s="146">
        <f t="shared" si="0"/>
        <v>12</v>
      </c>
      <c r="B31" s="291"/>
      <c r="C31" s="121"/>
      <c r="D31" s="121"/>
      <c r="E31" s="121"/>
      <c r="F31" s="121"/>
      <c r="G31" s="121"/>
      <c r="H31" s="147"/>
    </row>
    <row r="32" spans="1:8" ht="17" thickBot="1" x14ac:dyDescent="0.25">
      <c r="A32" s="146">
        <f t="shared" si="0"/>
        <v>13</v>
      </c>
      <c r="B32" s="383"/>
      <c r="C32" s="121"/>
      <c r="D32" s="121"/>
      <c r="E32" s="121"/>
      <c r="F32" s="121"/>
      <c r="G32" s="121"/>
      <c r="H32" s="147"/>
    </row>
    <row r="33" spans="1:8" ht="17" thickBot="1" x14ac:dyDescent="0.25">
      <c r="A33" s="146">
        <v>14</v>
      </c>
      <c r="B33" s="291"/>
      <c r="C33" s="121"/>
      <c r="D33" s="121"/>
      <c r="E33" s="121"/>
      <c r="F33" s="121"/>
      <c r="G33" s="121"/>
      <c r="H33" s="147"/>
    </row>
  </sheetData>
  <pageMargins left="0.7" right="0.7" top="0.75" bottom="0.75" header="0.3" footer="0.3"/>
  <pageSetup paperSize="9" scale="95" orientation="portrait" horizontalDpi="0" verticalDpi="0"/>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A3C01-C3EC-9349-9631-6FCF5129D6CA}">
  <dimension ref="A1:O365"/>
  <sheetViews>
    <sheetView rightToLeft="1" topLeftCell="A252" zoomScale="303" zoomScaleNormal="290" workbookViewId="0">
      <selection activeCell="F290" sqref="F290"/>
    </sheetView>
  </sheetViews>
  <sheetFormatPr baseColWidth="10" defaultRowHeight="16" x14ac:dyDescent="0.2"/>
  <cols>
    <col min="1" max="1" width="17.33203125" style="13" customWidth="1"/>
    <col min="2" max="2" width="10.83203125" style="13"/>
    <col min="3" max="16384" width="10.83203125" style="1"/>
  </cols>
  <sheetData>
    <row r="1" spans="1:12" ht="36" x14ac:dyDescent="0.4">
      <c r="A1" s="240" t="s">
        <v>0</v>
      </c>
      <c r="B1" s="75"/>
      <c r="C1" s="3"/>
      <c r="D1" s="3"/>
      <c r="E1" s="3"/>
      <c r="F1" s="3"/>
      <c r="G1" s="3"/>
      <c r="H1" s="250">
        <v>45594</v>
      </c>
    </row>
    <row r="2" spans="1:12" ht="17" thickBot="1" x14ac:dyDescent="0.25"/>
    <row r="3" spans="1:12" x14ac:dyDescent="0.2">
      <c r="A3" s="272" t="s">
        <v>1</v>
      </c>
      <c r="B3" s="105"/>
      <c r="C3" s="100"/>
      <c r="D3" s="100"/>
      <c r="E3" s="100"/>
      <c r="F3" s="100"/>
      <c r="G3" s="100"/>
      <c r="H3" s="19"/>
      <c r="J3" s="817" t="s">
        <v>5294</v>
      </c>
      <c r="K3" s="812"/>
      <c r="L3" s="813"/>
    </row>
    <row r="4" spans="1:12" x14ac:dyDescent="0.2">
      <c r="A4" s="262" t="s">
        <v>2255</v>
      </c>
      <c r="H4" s="107"/>
      <c r="J4" s="818" t="s">
        <v>5295</v>
      </c>
      <c r="K4" s="8"/>
      <c r="L4" s="814"/>
    </row>
    <row r="5" spans="1:12" ht="21" x14ac:dyDescent="0.25">
      <c r="A5" s="262" t="s">
        <v>5293</v>
      </c>
      <c r="H5" s="107"/>
      <c r="J5" s="818" t="s">
        <v>5296</v>
      </c>
      <c r="K5" s="8"/>
      <c r="L5" s="814"/>
    </row>
    <row r="6" spans="1:12" x14ac:dyDescent="0.2">
      <c r="A6" s="262"/>
      <c r="H6" s="107"/>
      <c r="J6" s="818" t="s">
        <v>5297</v>
      </c>
      <c r="K6" s="8"/>
      <c r="L6" s="814"/>
    </row>
    <row r="7" spans="1:12" x14ac:dyDescent="0.2">
      <c r="A7" s="262" t="s">
        <v>2256</v>
      </c>
      <c r="H7" s="107"/>
      <c r="J7" s="818" t="s">
        <v>5298</v>
      </c>
      <c r="K7" s="8"/>
      <c r="L7" s="814"/>
    </row>
    <row r="8" spans="1:12" x14ac:dyDescent="0.2">
      <c r="A8" s="262" t="s">
        <v>2257</v>
      </c>
      <c r="H8" s="107"/>
      <c r="J8" s="818" t="s">
        <v>5299</v>
      </c>
      <c r="K8" s="8"/>
      <c r="L8" s="814"/>
    </row>
    <row r="9" spans="1:12" ht="17" thickBot="1" x14ac:dyDescent="0.25">
      <c r="A9" s="262" t="s">
        <v>2258</v>
      </c>
      <c r="H9" s="107"/>
      <c r="J9" s="819" t="s">
        <v>5300</v>
      </c>
      <c r="K9" s="815"/>
      <c r="L9" s="816"/>
    </row>
    <row r="10" spans="1:12" x14ac:dyDescent="0.2">
      <c r="A10" s="262" t="s">
        <v>2259</v>
      </c>
      <c r="H10" s="107"/>
    </row>
    <row r="11" spans="1:12" ht="17" thickBot="1" x14ac:dyDescent="0.25">
      <c r="A11" s="262" t="s">
        <v>2260</v>
      </c>
      <c r="H11" s="107"/>
    </row>
    <row r="12" spans="1:12" ht="17" thickBot="1" x14ac:dyDescent="0.25">
      <c r="A12" s="265" t="s">
        <v>2</v>
      </c>
      <c r="B12" s="266"/>
      <c r="C12" s="103"/>
      <c r="D12" s="103"/>
      <c r="E12" s="103"/>
      <c r="F12" s="103"/>
      <c r="G12" s="103"/>
      <c r="H12" s="21"/>
      <c r="J12" s="146" t="s">
        <v>5302</v>
      </c>
      <c r="K12" s="121"/>
      <c r="L12" s="147"/>
    </row>
    <row r="13" spans="1:12" ht="17" thickBot="1" x14ac:dyDescent="0.25"/>
    <row r="14" spans="1:12" ht="17" thickBot="1" x14ac:dyDescent="0.25">
      <c r="A14" s="241" t="s">
        <v>5301</v>
      </c>
      <c r="B14" s="242"/>
      <c r="C14" s="5"/>
      <c r="D14" s="5"/>
      <c r="E14" s="5"/>
      <c r="F14" s="5"/>
      <c r="G14" s="5"/>
      <c r="H14" s="5"/>
      <c r="J14" s="146" t="s">
        <v>5303</v>
      </c>
      <c r="K14" s="121"/>
      <c r="L14" s="147"/>
    </row>
    <row r="15" spans="1:12" ht="17" thickBot="1" x14ac:dyDescent="0.25"/>
    <row r="16" spans="1:12" x14ac:dyDescent="0.2">
      <c r="A16" s="384" t="s">
        <v>5308</v>
      </c>
      <c r="B16" s="105"/>
      <c r="C16" s="100"/>
      <c r="D16" s="100"/>
      <c r="E16" s="809"/>
      <c r="F16" s="807"/>
      <c r="G16" s="807"/>
      <c r="H16" s="808"/>
      <c r="J16" s="2" t="s">
        <v>2263</v>
      </c>
      <c r="K16" s="2"/>
      <c r="L16" s="2"/>
    </row>
    <row r="17" spans="1:10" x14ac:dyDescent="0.2">
      <c r="A17" s="385" t="s">
        <v>5304</v>
      </c>
      <c r="B17" s="75"/>
      <c r="E17" s="821" t="s">
        <v>5309</v>
      </c>
      <c r="F17" s="821"/>
      <c r="G17" s="821"/>
      <c r="H17" s="822"/>
      <c r="J17"/>
    </row>
    <row r="18" spans="1:10" x14ac:dyDescent="0.2">
      <c r="A18" s="385"/>
      <c r="B18" s="75"/>
      <c r="E18" s="773"/>
      <c r="F18" s="773"/>
      <c r="G18" s="773"/>
      <c r="H18" s="774"/>
      <c r="J18"/>
    </row>
    <row r="19" spans="1:10" x14ac:dyDescent="0.2">
      <c r="A19" s="262"/>
      <c r="C19" s="1" t="s">
        <v>5305</v>
      </c>
      <c r="E19" s="773"/>
      <c r="F19" s="773"/>
      <c r="G19" s="773"/>
      <c r="H19" s="774"/>
      <c r="J19"/>
    </row>
    <row r="20" spans="1:10" x14ac:dyDescent="0.2">
      <c r="A20" s="262"/>
      <c r="C20" s="1" t="s">
        <v>5306</v>
      </c>
      <c r="H20" s="107"/>
    </row>
    <row r="21" spans="1:10" x14ac:dyDescent="0.2">
      <c r="A21" s="262"/>
      <c r="C21" s="1" t="s">
        <v>5307</v>
      </c>
      <c r="H21" s="107"/>
    </row>
    <row r="22" spans="1:10" ht="17" thickBot="1" x14ac:dyDescent="0.25">
      <c r="A22" s="265"/>
      <c r="B22" s="266"/>
      <c r="C22" s="103"/>
      <c r="D22" s="103"/>
      <c r="E22" s="103"/>
      <c r="F22" s="103"/>
      <c r="G22" s="103"/>
      <c r="H22" s="21"/>
    </row>
    <row r="24" spans="1:10" x14ac:dyDescent="0.2">
      <c r="A24" s="13" t="s">
        <v>2265</v>
      </c>
    </row>
    <row r="25" spans="1:10" x14ac:dyDescent="0.2">
      <c r="A25" s="13" t="s">
        <v>2262</v>
      </c>
    </row>
    <row r="27" spans="1:10" x14ac:dyDescent="0.2">
      <c r="A27" s="13" t="s">
        <v>2267</v>
      </c>
    </row>
    <row r="28" spans="1:10" x14ac:dyDescent="0.2">
      <c r="A28" s="13" t="s">
        <v>2266</v>
      </c>
    </row>
    <row r="30" spans="1:10" x14ac:dyDescent="0.2">
      <c r="A30" s="13" t="s">
        <v>2261</v>
      </c>
      <c r="J30" s="1" t="s">
        <v>2264</v>
      </c>
    </row>
    <row r="48" spans="1:1" x14ac:dyDescent="0.2">
      <c r="A48" s="14" t="s">
        <v>2268</v>
      </c>
    </row>
    <row r="67" spans="1:15" ht="17" thickBot="1" x14ac:dyDescent="0.25"/>
    <row r="68" spans="1:15" ht="17" thickBot="1" x14ac:dyDescent="0.25">
      <c r="I68" s="824" t="s">
        <v>3321</v>
      </c>
      <c r="J68" s="825"/>
      <c r="K68" s="825"/>
      <c r="L68" s="825"/>
      <c r="M68" s="826"/>
    </row>
    <row r="69" spans="1:15" ht="17" thickBot="1" x14ac:dyDescent="0.25">
      <c r="A69" s="478" t="s">
        <v>3336</v>
      </c>
      <c r="B69" s="479"/>
      <c r="C69" s="480"/>
      <c r="D69" s="480"/>
      <c r="E69" s="480"/>
      <c r="F69" s="480"/>
      <c r="G69" s="480"/>
      <c r="H69" s="715"/>
      <c r="I69" s="827" t="s">
        <v>3322</v>
      </c>
      <c r="J69" s="827"/>
      <c r="K69" s="827"/>
      <c r="L69" s="827"/>
      <c r="M69" s="828"/>
    </row>
    <row r="70" spans="1:15" x14ac:dyDescent="0.2">
      <c r="A70" s="385" t="s">
        <v>2831</v>
      </c>
      <c r="B70" s="75"/>
      <c r="C70" s="3"/>
      <c r="D70" s="3"/>
      <c r="E70" s="3"/>
      <c r="F70" s="3"/>
      <c r="G70" s="3"/>
      <c r="H70" s="716"/>
    </row>
    <row r="71" spans="1:15" x14ac:dyDescent="0.2">
      <c r="A71" s="385" t="s">
        <v>2832</v>
      </c>
      <c r="B71" s="75"/>
      <c r="C71" s="3"/>
      <c r="D71" s="3"/>
      <c r="E71" s="3"/>
      <c r="F71" s="3"/>
      <c r="G71" s="3"/>
      <c r="H71" s="716"/>
      <c r="K71" s="1" t="s">
        <v>3346</v>
      </c>
    </row>
    <row r="72" spans="1:15" x14ac:dyDescent="0.2">
      <c r="A72" s="385"/>
      <c r="B72" s="75"/>
      <c r="C72" s="3"/>
      <c r="D72" s="3"/>
      <c r="E72" s="3"/>
      <c r="F72" s="3"/>
      <c r="G72" s="3"/>
      <c r="H72" s="716"/>
    </row>
    <row r="73" spans="1:15" ht="34" customHeight="1" x14ac:dyDescent="0.2">
      <c r="A73" s="385"/>
      <c r="B73" s="75"/>
      <c r="C73" s="73" t="s">
        <v>319</v>
      </c>
      <c r="D73" s="559" t="s">
        <v>2833</v>
      </c>
      <c r="E73" s="559" t="s">
        <v>2834</v>
      </c>
      <c r="F73" s="3"/>
      <c r="G73" s="3"/>
      <c r="H73" s="716"/>
    </row>
    <row r="74" spans="1:15" x14ac:dyDescent="0.2">
      <c r="A74" s="385"/>
      <c r="B74" s="75"/>
      <c r="C74" s="3">
        <v>2020</v>
      </c>
      <c r="D74" s="302">
        <v>100000</v>
      </c>
      <c r="E74" s="302">
        <v>100000</v>
      </c>
      <c r="F74" s="3"/>
      <c r="G74" s="3"/>
      <c r="H74" s="716"/>
      <c r="I74" s="2" t="s">
        <v>3348</v>
      </c>
      <c r="M74" s="2" t="s">
        <v>3349</v>
      </c>
    </row>
    <row r="75" spans="1:15" x14ac:dyDescent="0.2">
      <c r="A75" s="385"/>
      <c r="B75" s="75"/>
      <c r="C75" s="3">
        <v>2021</v>
      </c>
      <c r="D75" s="302">
        <v>150000</v>
      </c>
      <c r="E75" s="302">
        <v>90000</v>
      </c>
      <c r="F75" s="3"/>
      <c r="G75" s="3"/>
      <c r="H75" s="716"/>
      <c r="I75" s="3" t="s">
        <v>3347</v>
      </c>
      <c r="J75" s="3"/>
      <c r="K75" s="3"/>
      <c r="M75" s="3" t="s">
        <v>3328</v>
      </c>
      <c r="N75" s="3"/>
      <c r="O75" s="3"/>
    </row>
    <row r="76" spans="1:15" x14ac:dyDescent="0.2">
      <c r="A76" s="385"/>
      <c r="B76" s="75"/>
      <c r="C76" s="3">
        <v>2022</v>
      </c>
      <c r="D76" s="302">
        <v>80000</v>
      </c>
      <c r="E76" s="302">
        <v>120000</v>
      </c>
      <c r="F76" s="3"/>
      <c r="G76" s="3"/>
      <c r="H76" s="716"/>
      <c r="I76" s="3" t="s">
        <v>3323</v>
      </c>
      <c r="J76" s="3"/>
      <c r="K76" s="3"/>
      <c r="M76" s="3" t="s">
        <v>3350</v>
      </c>
      <c r="N76" s="3"/>
      <c r="O76" s="3"/>
    </row>
    <row r="77" spans="1:15" x14ac:dyDescent="0.2">
      <c r="A77" s="385"/>
      <c r="B77" s="75"/>
      <c r="C77" s="3">
        <v>2023</v>
      </c>
      <c r="D77" s="302">
        <v>70000</v>
      </c>
      <c r="E77" s="302">
        <v>50000</v>
      </c>
      <c r="F77" s="3"/>
      <c r="G77" s="3"/>
      <c r="H77" s="716"/>
      <c r="I77" s="3" t="s">
        <v>3337</v>
      </c>
      <c r="J77" s="3"/>
      <c r="K77" s="3"/>
      <c r="M77" s="3" t="s">
        <v>3329</v>
      </c>
      <c r="N77" s="3"/>
      <c r="O77" s="3"/>
    </row>
    <row r="78" spans="1:15" x14ac:dyDescent="0.2">
      <c r="A78" s="385"/>
      <c r="B78" s="75"/>
      <c r="C78" s="3"/>
      <c r="D78" s="3"/>
      <c r="E78" s="3"/>
      <c r="F78" s="3"/>
      <c r="G78" s="3"/>
      <c r="H78" s="716"/>
      <c r="I78" s="3" t="s">
        <v>3324</v>
      </c>
      <c r="J78" s="3"/>
      <c r="K78" s="3"/>
      <c r="M78" s="3" t="s">
        <v>3330</v>
      </c>
      <c r="N78" s="3"/>
      <c r="O78" s="3"/>
    </row>
    <row r="79" spans="1:15" x14ac:dyDescent="0.2">
      <c r="A79" s="385" t="s">
        <v>318</v>
      </c>
      <c r="B79" s="75"/>
      <c r="C79" s="3"/>
      <c r="D79" s="3"/>
      <c r="E79" s="3"/>
      <c r="F79" s="3"/>
      <c r="G79" s="3"/>
      <c r="H79" s="716"/>
      <c r="I79" s="3" t="s">
        <v>3325</v>
      </c>
      <c r="J79" s="3"/>
      <c r="K79" s="3"/>
      <c r="M79" s="1" t="s">
        <v>3331</v>
      </c>
    </row>
    <row r="80" spans="1:15" x14ac:dyDescent="0.2">
      <c r="A80" s="385"/>
      <c r="B80" s="75"/>
      <c r="C80" s="3"/>
      <c r="D80" s="3"/>
      <c r="E80" s="3"/>
      <c r="F80" s="3"/>
      <c r="G80" s="3"/>
      <c r="H80" s="716"/>
      <c r="M80" s="1" t="s">
        <v>3332</v>
      </c>
    </row>
    <row r="81" spans="1:13" x14ac:dyDescent="0.2">
      <c r="A81" s="385"/>
      <c r="B81" s="75"/>
      <c r="C81" s="73" t="s">
        <v>319</v>
      </c>
      <c r="D81" s="73" t="s">
        <v>2835</v>
      </c>
      <c r="E81" s="73"/>
      <c r="F81" s="73"/>
      <c r="G81" s="3"/>
      <c r="H81" s="716"/>
      <c r="M81" s="1" t="s">
        <v>3333</v>
      </c>
    </row>
    <row r="82" spans="1:13" x14ac:dyDescent="0.2">
      <c r="A82" s="385"/>
      <c r="B82" s="75"/>
      <c r="C82" s="3">
        <v>2020</v>
      </c>
      <c r="D82" s="560">
        <f>D74</f>
        <v>100000</v>
      </c>
      <c r="E82" s="3"/>
      <c r="F82" s="3"/>
      <c r="G82" s="3"/>
      <c r="H82" s="716"/>
      <c r="I82" s="3" t="s">
        <v>3326</v>
      </c>
      <c r="J82" s="3"/>
      <c r="K82" s="3"/>
      <c r="M82" s="1" t="s">
        <v>3334</v>
      </c>
    </row>
    <row r="83" spans="1:13" x14ac:dyDescent="0.2">
      <c r="A83" s="385"/>
      <c r="B83" s="75"/>
      <c r="C83" s="3">
        <v>2021</v>
      </c>
      <c r="D83" s="302">
        <f>D75</f>
        <v>150000</v>
      </c>
      <c r="E83" s="3"/>
      <c r="F83" s="3"/>
      <c r="G83" s="3"/>
      <c r="H83" s="716"/>
      <c r="I83" s="829" t="s">
        <v>3327</v>
      </c>
      <c r="J83" s="829"/>
      <c r="K83" s="829"/>
      <c r="M83" s="1" t="s">
        <v>3335</v>
      </c>
    </row>
    <row r="84" spans="1:13" x14ac:dyDescent="0.2">
      <c r="A84" s="385"/>
      <c r="B84" s="75"/>
      <c r="C84" s="3">
        <v>2022</v>
      </c>
      <c r="D84" s="302">
        <f>D76</f>
        <v>80000</v>
      </c>
      <c r="E84" s="3"/>
      <c r="F84" s="3"/>
      <c r="G84" s="3"/>
      <c r="H84" s="716"/>
    </row>
    <row r="85" spans="1:13" x14ac:dyDescent="0.2">
      <c r="A85" s="385"/>
      <c r="B85" s="75"/>
      <c r="C85" s="3">
        <v>2023</v>
      </c>
      <c r="D85" s="302">
        <f>D77</f>
        <v>70000</v>
      </c>
      <c r="E85" s="3"/>
      <c r="F85" s="3"/>
      <c r="G85" s="3"/>
      <c r="H85" s="716"/>
    </row>
    <row r="86" spans="1:13" x14ac:dyDescent="0.2">
      <c r="A86" s="385"/>
      <c r="B86" s="75"/>
      <c r="C86" s="3"/>
      <c r="D86" s="3"/>
      <c r="E86" s="3"/>
      <c r="F86" s="3"/>
      <c r="G86" s="3"/>
      <c r="H86" s="716"/>
    </row>
    <row r="87" spans="1:13" x14ac:dyDescent="0.2">
      <c r="A87" s="385" t="s">
        <v>2836</v>
      </c>
      <c r="B87" s="75"/>
      <c r="C87" s="3"/>
      <c r="D87" s="3"/>
      <c r="E87" s="3"/>
      <c r="F87" s="3"/>
      <c r="G87" s="3"/>
      <c r="H87" s="716"/>
    </row>
    <row r="88" spans="1:13" x14ac:dyDescent="0.2">
      <c r="A88" s="385" t="s">
        <v>2838</v>
      </c>
      <c r="B88" s="75"/>
      <c r="C88" s="3"/>
      <c r="D88" s="3"/>
      <c r="E88" s="3"/>
      <c r="F88" s="3"/>
      <c r="G88" s="3"/>
      <c r="H88" s="716"/>
    </row>
    <row r="89" spans="1:13" ht="17" thickBot="1" x14ac:dyDescent="0.25">
      <c r="A89" s="810" t="s">
        <v>2837</v>
      </c>
      <c r="B89" s="811"/>
      <c r="C89" s="335"/>
      <c r="D89" s="335"/>
      <c r="E89" s="335"/>
      <c r="F89" s="335"/>
      <c r="G89" s="335"/>
      <c r="H89" s="717"/>
    </row>
    <row r="91" spans="1:13" x14ac:dyDescent="0.2">
      <c r="A91" s="14" t="s">
        <v>3338</v>
      </c>
    </row>
    <row r="92" spans="1:13" x14ac:dyDescent="0.2">
      <c r="A92" s="13" t="s">
        <v>2839</v>
      </c>
      <c r="C92" s="13"/>
      <c r="D92" s="13"/>
      <c r="E92" s="13"/>
      <c r="F92" s="13"/>
      <c r="G92" s="13"/>
      <c r="H92" s="13"/>
    </row>
    <row r="93" spans="1:13" x14ac:dyDescent="0.2">
      <c r="A93" s="13" t="s">
        <v>2840</v>
      </c>
      <c r="C93" s="13"/>
      <c r="D93" s="13"/>
      <c r="E93" s="13"/>
      <c r="F93" s="13"/>
      <c r="G93" s="13"/>
      <c r="H93" s="13"/>
    </row>
    <row r="94" spans="1:13" x14ac:dyDescent="0.2">
      <c r="C94" s="13"/>
      <c r="D94" s="13"/>
      <c r="E94" s="13"/>
      <c r="F94" s="13"/>
      <c r="G94" s="13"/>
      <c r="H94" s="13"/>
    </row>
    <row r="95" spans="1:13" x14ac:dyDescent="0.2">
      <c r="A95" s="13" t="s">
        <v>2841</v>
      </c>
      <c r="C95" s="13"/>
      <c r="D95" s="13"/>
      <c r="E95" s="13"/>
      <c r="F95" s="13"/>
      <c r="G95" s="13"/>
      <c r="H95" s="13"/>
    </row>
    <row r="96" spans="1:13" x14ac:dyDescent="0.2">
      <c r="A96" s="13" t="s">
        <v>2842</v>
      </c>
      <c r="C96" s="13"/>
      <c r="D96" s="13"/>
      <c r="E96" s="13"/>
      <c r="F96" s="13"/>
      <c r="G96" s="13"/>
      <c r="H96" s="13"/>
    </row>
    <row r="97" spans="1:8" x14ac:dyDescent="0.2">
      <c r="C97" s="13"/>
      <c r="D97" s="13"/>
      <c r="E97" s="13"/>
      <c r="F97" s="13"/>
      <c r="G97" s="13"/>
      <c r="H97" s="13"/>
    </row>
    <row r="98" spans="1:8" x14ac:dyDescent="0.2">
      <c r="A98" s="13" t="s">
        <v>2843</v>
      </c>
      <c r="C98" s="13"/>
      <c r="D98" s="13"/>
      <c r="E98" s="13"/>
      <c r="F98" s="13"/>
      <c r="G98" s="13"/>
      <c r="H98" s="13"/>
    </row>
    <row r="99" spans="1:8" x14ac:dyDescent="0.2">
      <c r="A99" s="13" t="s">
        <v>2845</v>
      </c>
      <c r="C99" s="13"/>
      <c r="D99" s="13"/>
      <c r="E99" s="13"/>
      <c r="F99" s="13"/>
      <c r="G99" s="13"/>
      <c r="H99" s="13"/>
    </row>
    <row r="100" spans="1:8" x14ac:dyDescent="0.2">
      <c r="A100" s="13" t="s">
        <v>2844</v>
      </c>
      <c r="C100" s="13"/>
      <c r="D100" s="13"/>
      <c r="E100" s="13"/>
      <c r="F100" s="13"/>
      <c r="G100" s="13"/>
      <c r="H100" s="13"/>
    </row>
    <row r="101" spans="1:8" x14ac:dyDescent="0.2">
      <c r="A101" s="12"/>
      <c r="B101" s="12"/>
      <c r="C101" s="12"/>
      <c r="D101" s="12"/>
      <c r="E101" s="12"/>
      <c r="F101" s="12"/>
    </row>
    <row r="102" spans="1:8" x14ac:dyDescent="0.2">
      <c r="A102" s="14" t="s">
        <v>3351</v>
      </c>
      <c r="B102" s="12"/>
      <c r="C102" s="12"/>
      <c r="D102" s="12"/>
      <c r="E102" s="12"/>
      <c r="F102" s="12"/>
    </row>
    <row r="103" spans="1:8" s="13" customFormat="1" x14ac:dyDescent="0.2">
      <c r="A103" s="13" t="s">
        <v>3352</v>
      </c>
      <c r="G103" s="13" t="s">
        <v>1380</v>
      </c>
    </row>
    <row r="104" spans="1:8" s="13" customFormat="1" x14ac:dyDescent="0.2">
      <c r="A104" s="13" t="s">
        <v>3353</v>
      </c>
      <c r="G104" s="13" t="s">
        <v>5310</v>
      </c>
    </row>
    <row r="105" spans="1:8" s="13" customFormat="1" x14ac:dyDescent="0.2">
      <c r="A105" s="13" t="s">
        <v>3354</v>
      </c>
      <c r="G105" s="13" t="s">
        <v>5311</v>
      </c>
    </row>
    <row r="106" spans="1:8" s="13" customFormat="1" x14ac:dyDescent="0.2">
      <c r="G106" s="13" t="s">
        <v>5312</v>
      </c>
    </row>
    <row r="107" spans="1:8" s="13" customFormat="1" x14ac:dyDescent="0.2">
      <c r="A107" s="13" t="s">
        <v>195</v>
      </c>
      <c r="H107" s="13" t="s">
        <v>3365</v>
      </c>
    </row>
    <row r="108" spans="1:8" s="13" customFormat="1" x14ac:dyDescent="0.2">
      <c r="A108" s="13" t="s">
        <v>3355</v>
      </c>
    </row>
    <row r="109" spans="1:8" s="13" customFormat="1" x14ac:dyDescent="0.2">
      <c r="A109" s="13" t="s">
        <v>3356</v>
      </c>
    </row>
    <row r="110" spans="1:8" s="13" customFormat="1" x14ac:dyDescent="0.2">
      <c r="A110" s="13" t="s">
        <v>3357</v>
      </c>
    </row>
    <row r="111" spans="1:8" s="13" customFormat="1" x14ac:dyDescent="0.2">
      <c r="A111" s="13" t="s">
        <v>3358</v>
      </c>
    </row>
    <row r="112" spans="1:8" s="13" customFormat="1" x14ac:dyDescent="0.2"/>
    <row r="113" spans="1:9" s="13" customFormat="1" x14ac:dyDescent="0.2">
      <c r="A113" s="13" t="s">
        <v>657</v>
      </c>
    </row>
    <row r="114" spans="1:9" s="13" customFormat="1" x14ac:dyDescent="0.2"/>
    <row r="115" spans="1:9" s="13" customFormat="1" x14ac:dyDescent="0.2">
      <c r="A115" s="13" t="s">
        <v>3359</v>
      </c>
      <c r="B115" s="70"/>
      <c r="C115" s="70" t="s">
        <v>1726</v>
      </c>
      <c r="D115" s="70" t="s">
        <v>3360</v>
      </c>
      <c r="F115" s="13" t="s">
        <v>3361</v>
      </c>
    </row>
    <row r="116" spans="1:9" s="13" customFormat="1" x14ac:dyDescent="0.2">
      <c r="B116" s="13">
        <v>2022</v>
      </c>
      <c r="C116" s="13">
        <f>D116/3</f>
        <v>36000</v>
      </c>
      <c r="D116" s="248">
        <v>108000</v>
      </c>
      <c r="F116" s="13" t="s">
        <v>3362</v>
      </c>
    </row>
    <row r="117" spans="1:9" s="13" customFormat="1" x14ac:dyDescent="0.2">
      <c r="B117" s="13">
        <v>2023</v>
      </c>
      <c r="C117" s="13">
        <f>C116</f>
        <v>36000</v>
      </c>
      <c r="D117" s="13">
        <v>0</v>
      </c>
      <c r="F117" s="13" t="s">
        <v>3363</v>
      </c>
    </row>
    <row r="118" spans="1:9" s="13" customFormat="1" x14ac:dyDescent="0.2">
      <c r="B118" s="13">
        <v>2024</v>
      </c>
      <c r="C118" s="13">
        <f>C117</f>
        <v>36000</v>
      </c>
      <c r="D118" s="13">
        <v>0</v>
      </c>
      <c r="F118" s="13" t="s">
        <v>3364</v>
      </c>
      <c r="I118" s="13" t="s">
        <v>3365</v>
      </c>
    </row>
    <row r="119" spans="1:9" s="13" customFormat="1" x14ac:dyDescent="0.2"/>
    <row r="120" spans="1:9" s="13" customFormat="1" x14ac:dyDescent="0.2">
      <c r="B120" s="13" t="s">
        <v>3366</v>
      </c>
    </row>
    <row r="121" spans="1:9" s="13" customFormat="1" x14ac:dyDescent="0.2">
      <c r="B121" s="13" t="s">
        <v>3367</v>
      </c>
    </row>
    <row r="122" spans="1:9" x14ac:dyDescent="0.2">
      <c r="A122" s="12"/>
      <c r="B122" s="12"/>
      <c r="C122" s="12"/>
      <c r="D122" s="12"/>
      <c r="E122" s="12"/>
      <c r="F122" s="12"/>
    </row>
    <row r="123" spans="1:9" s="13" customFormat="1" x14ac:dyDescent="0.2">
      <c r="A123" s="13" t="s">
        <v>3368</v>
      </c>
    </row>
    <row r="124" spans="1:9" s="13" customFormat="1" x14ac:dyDescent="0.2"/>
    <row r="125" spans="1:9" s="13" customFormat="1" x14ac:dyDescent="0.2">
      <c r="B125" s="70"/>
      <c r="C125" s="70" t="s">
        <v>1726</v>
      </c>
      <c r="D125" s="70" t="s">
        <v>3360</v>
      </c>
    </row>
    <row r="126" spans="1:9" s="13" customFormat="1" x14ac:dyDescent="0.2">
      <c r="B126" s="13">
        <v>2022</v>
      </c>
      <c r="C126" s="13">
        <f>C116</f>
        <v>36000</v>
      </c>
      <c r="D126" s="248">
        <v>0</v>
      </c>
    </row>
    <row r="127" spans="1:9" s="13" customFormat="1" x14ac:dyDescent="0.2">
      <c r="B127" s="13">
        <v>2023</v>
      </c>
      <c r="C127" s="13">
        <f>C126</f>
        <v>36000</v>
      </c>
      <c r="D127" s="13">
        <v>0</v>
      </c>
    </row>
    <row r="128" spans="1:9" s="13" customFormat="1" x14ac:dyDescent="0.2">
      <c r="B128" s="13">
        <v>2024</v>
      </c>
      <c r="C128" s="13">
        <f>C127</f>
        <v>36000</v>
      </c>
      <c r="D128" s="248">
        <f>D116</f>
        <v>108000</v>
      </c>
    </row>
    <row r="129" spans="1:9" s="13" customFormat="1" x14ac:dyDescent="0.2"/>
    <row r="130" spans="1:9" s="13" customFormat="1" x14ac:dyDescent="0.2">
      <c r="A130" s="535" t="s">
        <v>5338</v>
      </c>
    </row>
    <row r="131" spans="1:9" s="13" customFormat="1" x14ac:dyDescent="0.2">
      <c r="A131" s="535" t="s">
        <v>3358</v>
      </c>
    </row>
    <row r="132" spans="1:9" s="13" customFormat="1" x14ac:dyDescent="0.2"/>
    <row r="133" spans="1:9" s="13" customFormat="1" x14ac:dyDescent="0.2">
      <c r="B133" s="70"/>
      <c r="C133" s="70" t="s">
        <v>1726</v>
      </c>
      <c r="D133" s="70" t="s">
        <v>3360</v>
      </c>
      <c r="F133" s="13" t="s">
        <v>3369</v>
      </c>
    </row>
    <row r="134" spans="1:9" s="13" customFormat="1" x14ac:dyDescent="0.2">
      <c r="B134" s="13">
        <v>2022</v>
      </c>
      <c r="C134" s="13">
        <f>F136</f>
        <v>64800</v>
      </c>
      <c r="D134" s="248">
        <v>108000</v>
      </c>
      <c r="F134" s="13" t="s">
        <v>3370</v>
      </c>
    </row>
    <row r="135" spans="1:9" s="13" customFormat="1" x14ac:dyDescent="0.2">
      <c r="B135" s="13">
        <v>2023</v>
      </c>
      <c r="C135" s="13">
        <f>F137</f>
        <v>21600</v>
      </c>
      <c r="D135" s="13">
        <v>0</v>
      </c>
      <c r="F135" s="13" t="s">
        <v>3371</v>
      </c>
    </row>
    <row r="136" spans="1:9" s="13" customFormat="1" x14ac:dyDescent="0.2">
      <c r="B136" s="13">
        <v>2024</v>
      </c>
      <c r="C136" s="13">
        <f>C135</f>
        <v>21600</v>
      </c>
      <c r="D136" s="248">
        <f>D124</f>
        <v>0</v>
      </c>
      <c r="F136" s="13">
        <f>108000*60%</f>
        <v>64800</v>
      </c>
      <c r="H136" s="13" t="s">
        <v>3372</v>
      </c>
      <c r="I136" s="13">
        <v>2022</v>
      </c>
    </row>
    <row r="137" spans="1:9" s="13" customFormat="1" x14ac:dyDescent="0.2">
      <c r="F137" s="13">
        <f>108000*20%</f>
        <v>21600</v>
      </c>
      <c r="H137" s="13" t="s">
        <v>3373</v>
      </c>
      <c r="I137" s="13">
        <v>2023</v>
      </c>
    </row>
    <row r="138" spans="1:9" s="13" customFormat="1" x14ac:dyDescent="0.2">
      <c r="F138" s="13">
        <f>F137</f>
        <v>21600</v>
      </c>
      <c r="H138" s="13" t="s">
        <v>3373</v>
      </c>
      <c r="I138" s="13">
        <v>2024</v>
      </c>
    </row>
    <row r="139" spans="1:9" s="13" customFormat="1" x14ac:dyDescent="0.2"/>
    <row r="140" spans="1:9" s="13" customFormat="1" x14ac:dyDescent="0.2">
      <c r="B140" s="13" t="s">
        <v>3374</v>
      </c>
    </row>
    <row r="141" spans="1:9" s="13" customFormat="1" x14ac:dyDescent="0.2">
      <c r="B141" s="13" t="s">
        <v>3375</v>
      </c>
    </row>
    <row r="142" spans="1:9" s="13" customFormat="1" x14ac:dyDescent="0.2"/>
    <row r="143" spans="1:9" s="13" customFormat="1" x14ac:dyDescent="0.2"/>
    <row r="144" spans="1:9" x14ac:dyDescent="0.2">
      <c r="A144" s="14" t="s">
        <v>2846</v>
      </c>
    </row>
    <row r="145" spans="1:11" x14ac:dyDescent="0.2">
      <c r="A145" s="13" t="s">
        <v>3339</v>
      </c>
    </row>
    <row r="146" spans="1:11" x14ac:dyDescent="0.2">
      <c r="A146" s="13" t="s">
        <v>5313</v>
      </c>
    </row>
    <row r="147" spans="1:11" x14ac:dyDescent="0.2">
      <c r="A147" s="14"/>
    </row>
    <row r="148" spans="1:11" x14ac:dyDescent="0.2">
      <c r="A148" s="13" t="s">
        <v>5314</v>
      </c>
    </row>
    <row r="149" spans="1:11" x14ac:dyDescent="0.2">
      <c r="A149" s="13" t="s">
        <v>5315</v>
      </c>
      <c r="F149" s="823" t="s">
        <v>2851</v>
      </c>
      <c r="G149" s="823"/>
      <c r="H149" s="823"/>
    </row>
    <row r="150" spans="1:11" x14ac:dyDescent="0.2">
      <c r="A150" s="13" t="s">
        <v>5316</v>
      </c>
      <c r="G150" s="166"/>
    </row>
    <row r="151" spans="1:11" x14ac:dyDescent="0.2">
      <c r="I151" s="24"/>
    </row>
    <row r="152" spans="1:11" x14ac:dyDescent="0.2">
      <c r="A152" s="13" t="s">
        <v>5317</v>
      </c>
      <c r="E152" s="120">
        <v>45108</v>
      </c>
      <c r="G152" s="448">
        <v>44926</v>
      </c>
      <c r="I152" s="448">
        <v>44743</v>
      </c>
    </row>
    <row r="153" spans="1:11" x14ac:dyDescent="0.2">
      <c r="A153" s="13" t="s">
        <v>5318</v>
      </c>
      <c r="C153" s="120"/>
      <c r="E153" s="120"/>
      <c r="G153" s="120"/>
      <c r="I153" s="448"/>
      <c r="K153" s="120"/>
    </row>
    <row r="154" spans="1:11" x14ac:dyDescent="0.2">
      <c r="I154" s="6" t="s">
        <v>2847</v>
      </c>
    </row>
    <row r="155" spans="1:11" x14ac:dyDescent="0.2">
      <c r="F155" s="6" t="s">
        <v>2504</v>
      </c>
      <c r="H155" s="150" t="s">
        <v>2852</v>
      </c>
      <c r="I155" s="6" t="s">
        <v>2848</v>
      </c>
    </row>
    <row r="156" spans="1:11" x14ac:dyDescent="0.2">
      <c r="F156" s="6" t="s">
        <v>1682</v>
      </c>
      <c r="H156" s="150" t="s">
        <v>1682</v>
      </c>
      <c r="I156" s="41">
        <v>10000</v>
      </c>
    </row>
    <row r="157" spans="1:11" x14ac:dyDescent="0.2">
      <c r="F157" s="6" t="s">
        <v>2853</v>
      </c>
      <c r="G157" s="24"/>
      <c r="H157" s="6" t="s">
        <v>2853</v>
      </c>
    </row>
    <row r="158" spans="1:11" x14ac:dyDescent="0.2">
      <c r="E158" s="1" t="s">
        <v>2850</v>
      </c>
      <c r="F158" s="6" t="s">
        <v>2858</v>
      </c>
      <c r="H158" s="6" t="s">
        <v>319</v>
      </c>
      <c r="I158" s="1" t="s">
        <v>2849</v>
      </c>
    </row>
    <row r="159" spans="1:11" x14ac:dyDescent="0.2">
      <c r="F159" s="6" t="s">
        <v>2859</v>
      </c>
      <c r="H159" s="6" t="s">
        <v>2854</v>
      </c>
    </row>
    <row r="160" spans="1:11" x14ac:dyDescent="0.2">
      <c r="F160" s="6" t="s">
        <v>2854</v>
      </c>
      <c r="H160" s="477">
        <v>5000</v>
      </c>
    </row>
    <row r="161" spans="1:11" x14ac:dyDescent="0.2">
      <c r="F161" s="41">
        <v>5000</v>
      </c>
      <c r="H161" s="6" t="s">
        <v>2855</v>
      </c>
    </row>
    <row r="162" spans="1:11" x14ac:dyDescent="0.2">
      <c r="D162" s="2"/>
      <c r="H162" s="6" t="s">
        <v>2856</v>
      </c>
    </row>
    <row r="164" spans="1:11" x14ac:dyDescent="0.2">
      <c r="D164" s="1" t="s">
        <v>2860</v>
      </c>
      <c r="F164" s="41">
        <v>5000</v>
      </c>
      <c r="H164" s="1" t="s">
        <v>2857</v>
      </c>
    </row>
    <row r="165" spans="1:11" x14ac:dyDescent="0.2">
      <c r="D165" s="2"/>
    </row>
    <row r="166" spans="1:11" ht="17" thickBot="1" x14ac:dyDescent="0.25"/>
    <row r="167" spans="1:11" x14ac:dyDescent="0.2">
      <c r="A167" s="478" t="s">
        <v>2865</v>
      </c>
      <c r="B167" s="479"/>
      <c r="C167" s="480"/>
      <c r="D167" s="480"/>
      <c r="E167" s="100"/>
      <c r="F167" s="100"/>
      <c r="G167" s="100"/>
      <c r="H167" s="19"/>
    </row>
    <row r="168" spans="1:11" x14ac:dyDescent="0.2">
      <c r="A168" s="262" t="s">
        <v>2861</v>
      </c>
      <c r="H168" s="107"/>
    </row>
    <row r="169" spans="1:11" x14ac:dyDescent="0.2">
      <c r="A169" s="262" t="s">
        <v>2862</v>
      </c>
      <c r="H169" s="107"/>
    </row>
    <row r="170" spans="1:11" x14ac:dyDescent="0.2">
      <c r="A170" s="262" t="s">
        <v>2863</v>
      </c>
      <c r="H170" s="107"/>
    </row>
    <row r="171" spans="1:11" ht="17" thickBot="1" x14ac:dyDescent="0.25">
      <c r="A171" s="265" t="s">
        <v>2864</v>
      </c>
      <c r="B171" s="266"/>
      <c r="C171" s="103"/>
      <c r="D171" s="103"/>
      <c r="E171" s="103"/>
      <c r="F171" s="103"/>
      <c r="G171" s="103"/>
      <c r="H171" s="21"/>
    </row>
    <row r="174" spans="1:11" ht="23" x14ac:dyDescent="0.25">
      <c r="A174" s="481" t="s">
        <v>2866</v>
      </c>
    </row>
    <row r="175" spans="1:11" ht="17" thickBot="1" x14ac:dyDescent="0.25"/>
    <row r="176" spans="1:11" x14ac:dyDescent="0.2">
      <c r="A176" s="384" t="s">
        <v>2867</v>
      </c>
      <c r="B176" s="105"/>
      <c r="C176" s="100"/>
      <c r="D176" s="100"/>
      <c r="E176" s="100"/>
      <c r="F176" s="100"/>
      <c r="G176" s="100"/>
      <c r="H176" s="19"/>
      <c r="J176" s="3" t="s">
        <v>3340</v>
      </c>
      <c r="K176" s="3"/>
    </row>
    <row r="177" spans="1:11" ht="17" thickBot="1" x14ac:dyDescent="0.25">
      <c r="A177" s="265" t="s">
        <v>5319</v>
      </c>
      <c r="B177" s="266"/>
      <c r="C177" s="103"/>
      <c r="D177" s="103"/>
      <c r="E177" s="103"/>
      <c r="F177" s="103"/>
      <c r="G177" s="103"/>
      <c r="H177" s="21"/>
      <c r="J177" s="3" t="s">
        <v>3341</v>
      </c>
      <c r="K177" s="3"/>
    </row>
    <row r="178" spans="1:11" x14ac:dyDescent="0.2">
      <c r="J178" s="3" t="s">
        <v>3323</v>
      </c>
      <c r="K178" s="3"/>
    </row>
    <row r="179" spans="1:11" ht="17" thickBot="1" x14ac:dyDescent="0.25">
      <c r="B179" s="820" t="s">
        <v>3377</v>
      </c>
      <c r="C179" s="820"/>
      <c r="D179" s="820"/>
      <c r="E179" s="820"/>
      <c r="F179" s="820"/>
      <c r="G179" s="820"/>
      <c r="H179" s="820"/>
      <c r="J179" s="3" t="s">
        <v>3342</v>
      </c>
      <c r="K179" s="3"/>
    </row>
    <row r="180" spans="1:11" ht="17" thickBot="1" x14ac:dyDescent="0.25">
      <c r="B180" s="386" t="s">
        <v>6</v>
      </c>
      <c r="C180" s="147"/>
      <c r="E180" s="146" t="s">
        <v>7</v>
      </c>
      <c r="F180" s="121"/>
      <c r="G180" s="121"/>
      <c r="H180" s="147"/>
      <c r="J180" s="3" t="s">
        <v>3343</v>
      </c>
      <c r="K180" s="3"/>
    </row>
    <row r="181" spans="1:11" x14ac:dyDescent="0.2">
      <c r="B181" s="13" t="s">
        <v>133</v>
      </c>
      <c r="C181" s="1">
        <v>100</v>
      </c>
      <c r="E181" s="1" t="s">
        <v>22</v>
      </c>
      <c r="H181" s="1">
        <v>100</v>
      </c>
      <c r="J181" s="3" t="s">
        <v>3376</v>
      </c>
      <c r="K181" s="3"/>
    </row>
    <row r="182" spans="1:11" ht="17" thickBot="1" x14ac:dyDescent="0.25">
      <c r="B182" s="13" t="s">
        <v>63</v>
      </c>
      <c r="C182" s="1">
        <v>50</v>
      </c>
      <c r="E182" s="1" t="s">
        <v>2272</v>
      </c>
      <c r="H182" s="1">
        <v>200</v>
      </c>
      <c r="J182" s="3" t="s">
        <v>3344</v>
      </c>
      <c r="K182" s="3"/>
    </row>
    <row r="183" spans="1:11" ht="17" thickBot="1" x14ac:dyDescent="0.25">
      <c r="B183" s="13" t="s">
        <v>2269</v>
      </c>
      <c r="C183" s="1">
        <v>150</v>
      </c>
      <c r="E183" s="1" t="s">
        <v>2273</v>
      </c>
      <c r="H183" s="22">
        <f>H181+H182</f>
        <v>300</v>
      </c>
      <c r="J183" s="3" t="s">
        <v>3345</v>
      </c>
      <c r="K183" s="3"/>
    </row>
    <row r="184" spans="1:11" ht="17" thickBot="1" x14ac:dyDescent="0.25">
      <c r="B184" s="13" t="s">
        <v>2270</v>
      </c>
      <c r="C184" s="1">
        <v>200</v>
      </c>
    </row>
    <row r="185" spans="1:11" ht="17" thickBot="1" x14ac:dyDescent="0.25">
      <c r="B185" s="13" t="s">
        <v>2271</v>
      </c>
      <c r="C185" s="1">
        <v>300</v>
      </c>
      <c r="E185" s="146" t="s">
        <v>124</v>
      </c>
      <c r="F185" s="121"/>
      <c r="G185" s="121"/>
      <c r="H185" s="147"/>
      <c r="J185" s="18" t="s">
        <v>3378</v>
      </c>
      <c r="K185" s="19"/>
    </row>
    <row r="186" spans="1:11" x14ac:dyDescent="0.2">
      <c r="E186" s="1" t="s">
        <v>2274</v>
      </c>
      <c r="H186" s="1">
        <v>200</v>
      </c>
      <c r="J186" s="106" t="s">
        <v>3379</v>
      </c>
      <c r="K186" s="107"/>
    </row>
    <row r="187" spans="1:11" ht="17" thickBot="1" x14ac:dyDescent="0.25">
      <c r="E187" s="1" t="s">
        <v>2275</v>
      </c>
      <c r="H187" s="1">
        <v>300</v>
      </c>
      <c r="J187" s="106" t="s">
        <v>3380</v>
      </c>
      <c r="K187" s="107"/>
    </row>
    <row r="188" spans="1:11" ht="17" thickBot="1" x14ac:dyDescent="0.25">
      <c r="E188" s="1" t="s">
        <v>1170</v>
      </c>
      <c r="H188" s="22">
        <f>H186+H187</f>
        <v>500</v>
      </c>
      <c r="J188" s="20" t="s">
        <v>3381</v>
      </c>
      <c r="K188" s="21"/>
    </row>
    <row r="189" spans="1:11" ht="17" thickBot="1" x14ac:dyDescent="0.25"/>
    <row r="190" spans="1:11" ht="17" thickBot="1" x14ac:dyDescent="0.25">
      <c r="B190" s="13" t="s">
        <v>272</v>
      </c>
      <c r="C190" s="22">
        <f>SUM(C181:C185)</f>
        <v>800</v>
      </c>
      <c r="D190" s="6" t="s">
        <v>72</v>
      </c>
      <c r="E190" s="1" t="s">
        <v>2276</v>
      </c>
      <c r="H190" s="22">
        <f>H183+H188</f>
        <v>800</v>
      </c>
    </row>
    <row r="192" spans="1:11" x14ac:dyDescent="0.2">
      <c r="A192" s="13" t="s">
        <v>2277</v>
      </c>
    </row>
    <row r="193" spans="1:9" x14ac:dyDescent="0.2">
      <c r="A193" s="13" t="s">
        <v>2278</v>
      </c>
    </row>
    <row r="196" spans="1:9" x14ac:dyDescent="0.2">
      <c r="A196" s="243" t="s">
        <v>3</v>
      </c>
      <c r="B196" s="244"/>
      <c r="C196" s="10"/>
      <c r="D196" s="10"/>
      <c r="E196" s="10"/>
      <c r="F196" s="10"/>
      <c r="G196" s="10"/>
      <c r="H196" s="10"/>
    </row>
    <row r="198" spans="1:9" x14ac:dyDescent="0.2">
      <c r="A198" s="13" t="s">
        <v>4</v>
      </c>
      <c r="B198" s="13" t="s">
        <v>1444</v>
      </c>
    </row>
    <row r="199" spans="1:9" s="13" customFormat="1" x14ac:dyDescent="0.2">
      <c r="A199" s="13" t="s">
        <v>5</v>
      </c>
      <c r="B199" s="13" t="s">
        <v>1443</v>
      </c>
    </row>
    <row r="200" spans="1:9" s="13" customFormat="1" x14ac:dyDescent="0.2">
      <c r="A200" s="13" t="s">
        <v>6</v>
      </c>
      <c r="B200" s="13" t="s">
        <v>2279</v>
      </c>
    </row>
    <row r="201" spans="1:9" s="13" customFormat="1" x14ac:dyDescent="0.2">
      <c r="A201" s="13" t="s">
        <v>7</v>
      </c>
      <c r="B201" s="13" t="s">
        <v>2280</v>
      </c>
    </row>
    <row r="202" spans="1:9" s="13" customFormat="1" x14ac:dyDescent="0.2">
      <c r="A202" s="13" t="s">
        <v>124</v>
      </c>
      <c r="B202" s="13" t="s">
        <v>2281</v>
      </c>
    </row>
    <row r="204" spans="1:9" x14ac:dyDescent="0.2">
      <c r="A204" s="75" t="s">
        <v>3382</v>
      </c>
      <c r="B204" s="75"/>
      <c r="C204" s="3"/>
      <c r="D204" s="3"/>
      <c r="E204" s="3"/>
      <c r="F204" s="3"/>
      <c r="G204" s="3"/>
      <c r="H204" s="3"/>
    </row>
    <row r="205" spans="1:9" x14ac:dyDescent="0.2">
      <c r="A205" s="13" t="s">
        <v>3383</v>
      </c>
    </row>
    <row r="206" spans="1:9" x14ac:dyDescent="0.2">
      <c r="A206" s="13" t="s">
        <v>3384</v>
      </c>
    </row>
    <row r="207" spans="1:9" x14ac:dyDescent="0.2">
      <c r="I207" s="1" t="s">
        <v>5320</v>
      </c>
    </row>
    <row r="208" spans="1:9" x14ac:dyDescent="0.2">
      <c r="A208" s="13" t="s">
        <v>9</v>
      </c>
      <c r="B208" s="540" t="s">
        <v>6</v>
      </c>
      <c r="C208" s="36" t="s">
        <v>7</v>
      </c>
      <c r="D208" s="36" t="s">
        <v>124</v>
      </c>
      <c r="E208" s="36" t="s">
        <v>4</v>
      </c>
      <c r="F208" s="36" t="s">
        <v>5</v>
      </c>
      <c r="I208" s="1" t="s">
        <v>5321</v>
      </c>
    </row>
    <row r="209" spans="1:9" x14ac:dyDescent="0.2">
      <c r="A209" s="13" t="s">
        <v>1238</v>
      </c>
      <c r="B209" s="15" t="s">
        <v>3385</v>
      </c>
      <c r="I209" s="1" t="s">
        <v>5322</v>
      </c>
    </row>
    <row r="210" spans="1:9" x14ac:dyDescent="0.2">
      <c r="A210" s="13" t="s">
        <v>3386</v>
      </c>
      <c r="B210" s="15" t="s">
        <v>3385</v>
      </c>
      <c r="I210" s="1" t="s">
        <v>5323</v>
      </c>
    </row>
    <row r="211" spans="1:9" x14ac:dyDescent="0.2">
      <c r="A211" s="13" t="s">
        <v>3387</v>
      </c>
      <c r="B211" s="15"/>
      <c r="C211" s="15" t="s">
        <v>3385</v>
      </c>
      <c r="I211" s="1" t="s">
        <v>5324</v>
      </c>
    </row>
    <row r="212" spans="1:9" x14ac:dyDescent="0.2">
      <c r="A212" s="13" t="s">
        <v>3388</v>
      </c>
      <c r="B212" s="15"/>
      <c r="C212" s="15" t="s">
        <v>3385</v>
      </c>
      <c r="I212" s="1" t="s">
        <v>5325</v>
      </c>
    </row>
    <row r="213" spans="1:9" x14ac:dyDescent="0.2">
      <c r="A213" s="13" t="s">
        <v>3389</v>
      </c>
      <c r="C213" s="15" t="s">
        <v>3385</v>
      </c>
      <c r="I213" s="1" t="s">
        <v>5326</v>
      </c>
    </row>
    <row r="214" spans="1:9" x14ac:dyDescent="0.2">
      <c r="A214" s="13" t="s">
        <v>3390</v>
      </c>
      <c r="B214" s="15" t="s">
        <v>3385</v>
      </c>
    </row>
    <row r="215" spans="1:9" x14ac:dyDescent="0.2">
      <c r="A215" s="13" t="s">
        <v>3391</v>
      </c>
      <c r="B215" s="15" t="s">
        <v>3385</v>
      </c>
      <c r="I215" s="1" t="s">
        <v>5327</v>
      </c>
    </row>
    <row r="216" spans="1:9" x14ac:dyDescent="0.2">
      <c r="A216" s="13" t="s">
        <v>245</v>
      </c>
      <c r="B216" s="15" t="s">
        <v>3385</v>
      </c>
      <c r="I216" s="1" t="s">
        <v>5328</v>
      </c>
    </row>
    <row r="217" spans="1:9" x14ac:dyDescent="0.2">
      <c r="A217" s="13" t="s">
        <v>2357</v>
      </c>
      <c r="B217" s="15" t="s">
        <v>3385</v>
      </c>
      <c r="I217" s="1" t="s">
        <v>5329</v>
      </c>
    </row>
    <row r="218" spans="1:9" x14ac:dyDescent="0.2">
      <c r="A218" s="13" t="s">
        <v>3392</v>
      </c>
      <c r="F218" s="15" t="s">
        <v>3385</v>
      </c>
      <c r="I218" s="1" t="s">
        <v>5330</v>
      </c>
    </row>
    <row r="219" spans="1:9" x14ac:dyDescent="0.2">
      <c r="A219" s="13" t="s">
        <v>1475</v>
      </c>
      <c r="B219" s="15" t="s">
        <v>3385</v>
      </c>
      <c r="I219" s="1" t="s">
        <v>5331</v>
      </c>
    </row>
    <row r="220" spans="1:9" x14ac:dyDescent="0.2">
      <c r="A220" s="13" t="s">
        <v>3393</v>
      </c>
      <c r="B220" s="15" t="s">
        <v>3385</v>
      </c>
      <c r="I220" s="1" t="s">
        <v>5332</v>
      </c>
    </row>
    <row r="221" spans="1:9" x14ac:dyDescent="0.2">
      <c r="A221" s="13" t="s">
        <v>3394</v>
      </c>
      <c r="B221" s="15" t="s">
        <v>3385</v>
      </c>
      <c r="I221" s="1" t="s">
        <v>5333</v>
      </c>
    </row>
    <row r="222" spans="1:9" x14ac:dyDescent="0.2">
      <c r="A222" s="13" t="s">
        <v>16</v>
      </c>
      <c r="C222" s="15" t="s">
        <v>3385</v>
      </c>
      <c r="I222" s="1" t="s">
        <v>5334</v>
      </c>
    </row>
    <row r="223" spans="1:9" x14ac:dyDescent="0.2">
      <c r="A223" s="13" t="s">
        <v>14</v>
      </c>
      <c r="B223" s="15" t="s">
        <v>3385</v>
      </c>
      <c r="C223" s="15"/>
      <c r="I223" s="1" t="s">
        <v>5335</v>
      </c>
    </row>
    <row r="224" spans="1:9" x14ac:dyDescent="0.2">
      <c r="A224" s="13" t="s">
        <v>1445</v>
      </c>
      <c r="C224" s="15" t="s">
        <v>3385</v>
      </c>
      <c r="I224" s="1" t="s">
        <v>5336</v>
      </c>
    </row>
    <row r="225" spans="1:11" x14ac:dyDescent="0.2">
      <c r="A225" s="13" t="s">
        <v>3395</v>
      </c>
      <c r="B225" s="15" t="s">
        <v>3385</v>
      </c>
      <c r="I225" s="1" t="s">
        <v>5337</v>
      </c>
    </row>
    <row r="226" spans="1:11" x14ac:dyDescent="0.2">
      <c r="A226" s="13" t="s">
        <v>3334</v>
      </c>
      <c r="D226" s="15" t="s">
        <v>3385</v>
      </c>
    </row>
    <row r="227" spans="1:11" x14ac:dyDescent="0.2">
      <c r="A227" s="13" t="s">
        <v>3396</v>
      </c>
      <c r="D227" s="15" t="s">
        <v>3385</v>
      </c>
    </row>
    <row r="228" spans="1:11" s="13" customFormat="1" x14ac:dyDescent="0.2">
      <c r="A228" s="13" t="s">
        <v>3397</v>
      </c>
      <c r="D228" s="15"/>
      <c r="E228" s="15" t="s">
        <v>3385</v>
      </c>
    </row>
    <row r="229" spans="1:11" x14ac:dyDescent="0.2">
      <c r="A229" s="13" t="s">
        <v>260</v>
      </c>
      <c r="D229" s="15"/>
      <c r="F229" s="15" t="s">
        <v>3385</v>
      </c>
    </row>
    <row r="230" spans="1:11" x14ac:dyDescent="0.2">
      <c r="A230" s="13" t="s">
        <v>19</v>
      </c>
      <c r="B230" s="15" t="s">
        <v>3385</v>
      </c>
      <c r="D230" s="15"/>
      <c r="H230" s="6" t="s">
        <v>3415</v>
      </c>
    </row>
    <row r="231" spans="1:11" x14ac:dyDescent="0.2">
      <c r="A231" s="13" t="s">
        <v>3398</v>
      </c>
      <c r="D231" s="15"/>
      <c r="F231" s="15" t="s">
        <v>3385</v>
      </c>
      <c r="H231" s="1" t="s">
        <v>3402</v>
      </c>
    </row>
    <row r="232" spans="1:11" x14ac:dyDescent="0.2">
      <c r="A232" s="13" t="s">
        <v>1452</v>
      </c>
      <c r="D232" s="15"/>
      <c r="F232" s="15" t="s">
        <v>3385</v>
      </c>
      <c r="H232" s="1" t="s">
        <v>3403</v>
      </c>
    </row>
    <row r="233" spans="1:11" x14ac:dyDescent="0.2">
      <c r="A233" s="13" t="s">
        <v>3399</v>
      </c>
      <c r="D233" s="15"/>
      <c r="F233" s="15" t="s">
        <v>3385</v>
      </c>
      <c r="H233" s="1" t="s">
        <v>3404</v>
      </c>
    </row>
    <row r="234" spans="1:11" x14ac:dyDescent="0.2">
      <c r="A234" s="13" t="s">
        <v>3400</v>
      </c>
      <c r="D234" s="15"/>
      <c r="F234" s="15" t="s">
        <v>3385</v>
      </c>
      <c r="H234" s="1" t="s">
        <v>3405</v>
      </c>
    </row>
    <row r="235" spans="1:11" x14ac:dyDescent="0.2">
      <c r="A235" s="13" t="s">
        <v>3401</v>
      </c>
      <c r="D235" s="15"/>
      <c r="F235" s="15" t="s">
        <v>3385</v>
      </c>
      <c r="H235" s="1" t="s">
        <v>3406</v>
      </c>
    </row>
    <row r="236" spans="1:11" x14ac:dyDescent="0.2">
      <c r="A236" s="13" t="s">
        <v>3413</v>
      </c>
      <c r="D236" s="15"/>
      <c r="F236" s="15" t="s">
        <v>3385</v>
      </c>
      <c r="H236" s="144" t="s">
        <v>3407</v>
      </c>
    </row>
    <row r="237" spans="1:11" x14ac:dyDescent="0.2">
      <c r="A237" s="13" t="s">
        <v>1449</v>
      </c>
      <c r="D237" s="15"/>
      <c r="F237" s="15" t="s">
        <v>3385</v>
      </c>
      <c r="H237" s="1" t="s">
        <v>3408</v>
      </c>
      <c r="K237" s="1">
        <f>4000*12</f>
        <v>48000</v>
      </c>
    </row>
    <row r="238" spans="1:11" x14ac:dyDescent="0.2">
      <c r="A238" s="13" t="s">
        <v>3414</v>
      </c>
      <c r="C238" s="15" t="s">
        <v>3385</v>
      </c>
      <c r="D238" s="15"/>
      <c r="H238" s="144" t="s">
        <v>3409</v>
      </c>
    </row>
    <row r="239" spans="1:11" x14ac:dyDescent="0.2">
      <c r="D239" s="15"/>
      <c r="H239" s="1" t="s">
        <v>3410</v>
      </c>
    </row>
    <row r="240" spans="1:11" x14ac:dyDescent="0.2">
      <c r="D240" s="15"/>
      <c r="H240" s="1" t="s">
        <v>3411</v>
      </c>
    </row>
    <row r="241" spans="1:11" x14ac:dyDescent="0.2">
      <c r="D241" s="15"/>
      <c r="H241" s="1" t="s">
        <v>3412</v>
      </c>
      <c r="K241" s="1">
        <v>4000</v>
      </c>
    </row>
    <row r="242" spans="1:11" x14ac:dyDescent="0.2">
      <c r="D242" s="15"/>
    </row>
    <row r="243" spans="1:11" x14ac:dyDescent="0.2">
      <c r="A243" s="75" t="s">
        <v>3416</v>
      </c>
      <c r="B243" s="75"/>
      <c r="C243" s="3"/>
      <c r="D243" s="3"/>
      <c r="E243" s="3"/>
      <c r="F243" s="3"/>
      <c r="G243" s="3"/>
      <c r="H243" s="3"/>
    </row>
    <row r="244" spans="1:11" x14ac:dyDescent="0.2">
      <c r="D244" s="15"/>
    </row>
    <row r="245" spans="1:11" x14ac:dyDescent="0.2">
      <c r="A245" s="13" t="s">
        <v>3417</v>
      </c>
      <c r="D245" s="15"/>
    </row>
    <row r="246" spans="1:11" x14ac:dyDescent="0.2">
      <c r="D246" s="15"/>
    </row>
    <row r="247" spans="1:11" x14ac:dyDescent="0.2">
      <c r="A247" s="540" t="s">
        <v>9</v>
      </c>
      <c r="B247" s="540" t="s">
        <v>6</v>
      </c>
      <c r="C247" s="36" t="s">
        <v>7</v>
      </c>
      <c r="D247" s="540" t="s">
        <v>124</v>
      </c>
      <c r="E247" s="36" t="s">
        <v>4</v>
      </c>
      <c r="F247" s="36" t="s">
        <v>5</v>
      </c>
      <c r="H247" s="1" t="s">
        <v>3418</v>
      </c>
    </row>
    <row r="248" spans="1:11" x14ac:dyDescent="0.2">
      <c r="A248" s="13" t="s">
        <v>3419</v>
      </c>
      <c r="B248" s="15" t="s">
        <v>3385</v>
      </c>
      <c r="D248" s="15"/>
      <c r="H248" s="1" t="s">
        <v>3429</v>
      </c>
    </row>
    <row r="249" spans="1:11" x14ac:dyDescent="0.2">
      <c r="A249" s="13" t="s">
        <v>1484</v>
      </c>
      <c r="B249" s="15" t="s">
        <v>3385</v>
      </c>
      <c r="D249" s="15"/>
      <c r="H249" s="1" t="s">
        <v>3430</v>
      </c>
    </row>
    <row r="250" spans="1:11" x14ac:dyDescent="0.2">
      <c r="A250" s="13" t="s">
        <v>3420</v>
      </c>
      <c r="B250" s="15" t="s">
        <v>3385</v>
      </c>
      <c r="D250" s="15"/>
      <c r="H250" s="1" t="s">
        <v>3424</v>
      </c>
    </row>
    <row r="251" spans="1:11" x14ac:dyDescent="0.2">
      <c r="A251" s="13" t="s">
        <v>3395</v>
      </c>
      <c r="B251" s="15" t="s">
        <v>3385</v>
      </c>
      <c r="D251" s="15"/>
      <c r="H251" s="1" t="s">
        <v>3432</v>
      </c>
    </row>
    <row r="252" spans="1:11" x14ac:dyDescent="0.2">
      <c r="A252" s="13" t="s">
        <v>2375</v>
      </c>
      <c r="B252" s="15" t="s">
        <v>3385</v>
      </c>
      <c r="D252" s="15"/>
      <c r="H252" s="1" t="s">
        <v>3427</v>
      </c>
    </row>
    <row r="253" spans="1:11" x14ac:dyDescent="0.2">
      <c r="A253" s="13" t="s">
        <v>3421</v>
      </c>
      <c r="D253" s="15"/>
      <c r="F253" s="15" t="s">
        <v>3385</v>
      </c>
      <c r="H253" s="1" t="s">
        <v>3433</v>
      </c>
    </row>
    <row r="254" spans="1:11" x14ac:dyDescent="0.2">
      <c r="A254" s="13" t="s">
        <v>3422</v>
      </c>
      <c r="C254" s="15" t="s">
        <v>3385</v>
      </c>
      <c r="D254" s="15"/>
      <c r="H254" s="1" t="s">
        <v>3431</v>
      </c>
    </row>
    <row r="255" spans="1:11" x14ac:dyDescent="0.2">
      <c r="A255" s="13" t="s">
        <v>3423</v>
      </c>
      <c r="D255" s="15"/>
      <c r="F255" s="15" t="s">
        <v>3385</v>
      </c>
      <c r="H255" s="1" t="s">
        <v>3452</v>
      </c>
    </row>
    <row r="256" spans="1:11" x14ac:dyDescent="0.2">
      <c r="A256" s="13" t="s">
        <v>20</v>
      </c>
      <c r="B256" s="15" t="s">
        <v>3385</v>
      </c>
      <c r="D256" s="15"/>
      <c r="H256" s="1" t="s">
        <v>3436</v>
      </c>
    </row>
    <row r="257" spans="1:8" x14ac:dyDescent="0.2">
      <c r="A257" s="13" t="s">
        <v>1601</v>
      </c>
      <c r="D257" s="15" t="s">
        <v>3385</v>
      </c>
      <c r="H257" s="1" t="s">
        <v>3435</v>
      </c>
    </row>
    <row r="258" spans="1:8" x14ac:dyDescent="0.2">
      <c r="A258" s="13" t="s">
        <v>3425</v>
      </c>
      <c r="C258" s="15" t="s">
        <v>3385</v>
      </c>
      <c r="D258" s="15"/>
    </row>
    <row r="259" spans="1:8" x14ac:dyDescent="0.2">
      <c r="A259" s="13" t="s">
        <v>3426</v>
      </c>
      <c r="C259" s="15" t="s">
        <v>3385</v>
      </c>
      <c r="D259" s="15"/>
      <c r="H259" s="1" t="s">
        <v>3440</v>
      </c>
    </row>
    <row r="260" spans="1:8" x14ac:dyDescent="0.2">
      <c r="A260" s="13" t="s">
        <v>1445</v>
      </c>
      <c r="C260" s="15" t="s">
        <v>3385</v>
      </c>
      <c r="D260" s="15"/>
      <c r="H260" s="1" t="s">
        <v>3441</v>
      </c>
    </row>
    <row r="261" spans="1:8" x14ac:dyDescent="0.2">
      <c r="A261" s="13" t="s">
        <v>3428</v>
      </c>
      <c r="B261" s="15" t="s">
        <v>3385</v>
      </c>
      <c r="D261" s="15"/>
      <c r="H261" s="1" t="s">
        <v>3442</v>
      </c>
    </row>
    <row r="262" spans="1:8" x14ac:dyDescent="0.2">
      <c r="A262" s="13" t="s">
        <v>3434</v>
      </c>
      <c r="C262" s="15" t="s">
        <v>3385</v>
      </c>
      <c r="D262" s="15"/>
      <c r="H262" s="1" t="s">
        <v>3443</v>
      </c>
    </row>
    <row r="263" spans="1:8" x14ac:dyDescent="0.2">
      <c r="A263" s="13" t="s">
        <v>3397</v>
      </c>
      <c r="D263" s="15"/>
      <c r="E263" s="15" t="s">
        <v>3385</v>
      </c>
      <c r="F263" s="15"/>
      <c r="H263" s="1" t="s">
        <v>3444</v>
      </c>
    </row>
    <row r="264" spans="1:8" x14ac:dyDescent="0.2">
      <c r="A264" s="13" t="s">
        <v>3437</v>
      </c>
      <c r="D264" s="15"/>
      <c r="E264" s="15" t="s">
        <v>3385</v>
      </c>
      <c r="H264" s="1" t="s">
        <v>3445</v>
      </c>
    </row>
    <row r="265" spans="1:8" x14ac:dyDescent="0.2">
      <c r="A265" s="13" t="s">
        <v>3438</v>
      </c>
      <c r="D265" s="15"/>
      <c r="F265" s="15" t="s">
        <v>3385</v>
      </c>
      <c r="H265" s="1" t="s">
        <v>3447</v>
      </c>
    </row>
    <row r="266" spans="1:8" x14ac:dyDescent="0.2">
      <c r="A266" s="13" t="s">
        <v>1449</v>
      </c>
      <c r="D266" s="15"/>
      <c r="F266" s="15" t="s">
        <v>3385</v>
      </c>
      <c r="H266" s="1" t="s">
        <v>3446</v>
      </c>
    </row>
    <row r="267" spans="1:8" x14ac:dyDescent="0.2">
      <c r="A267" s="13" t="s">
        <v>260</v>
      </c>
      <c r="D267" s="15"/>
      <c r="F267" s="15" t="s">
        <v>3385</v>
      </c>
      <c r="H267" s="1" t="s">
        <v>3448</v>
      </c>
    </row>
    <row r="268" spans="1:8" x14ac:dyDescent="0.2">
      <c r="A268" s="13" t="s">
        <v>3453</v>
      </c>
      <c r="D268" s="15"/>
      <c r="F268" s="15" t="s">
        <v>3385</v>
      </c>
      <c r="H268" s="1" t="s">
        <v>3449</v>
      </c>
    </row>
    <row r="269" spans="1:8" x14ac:dyDescent="0.2">
      <c r="A269" s="13" t="s">
        <v>3439</v>
      </c>
      <c r="C269" s="15" t="s">
        <v>3385</v>
      </c>
      <c r="D269" s="15"/>
      <c r="H269" s="1" t="s">
        <v>3450</v>
      </c>
    </row>
    <row r="270" spans="1:8" x14ac:dyDescent="0.2">
      <c r="A270" s="13" t="s">
        <v>22</v>
      </c>
      <c r="C270" s="15" t="s">
        <v>3385</v>
      </c>
      <c r="D270" s="15"/>
      <c r="H270" s="1" t="s">
        <v>3451</v>
      </c>
    </row>
    <row r="271" spans="1:8" x14ac:dyDescent="0.2">
      <c r="D271" s="15"/>
    </row>
    <row r="272" spans="1:8" x14ac:dyDescent="0.2">
      <c r="D272" s="15"/>
    </row>
    <row r="273" spans="1:8" x14ac:dyDescent="0.2">
      <c r="D273" s="15"/>
    </row>
    <row r="274" spans="1:8" x14ac:dyDescent="0.2">
      <c r="D274" s="15"/>
    </row>
    <row r="275" spans="1:8" x14ac:dyDescent="0.2">
      <c r="D275" s="15"/>
    </row>
    <row r="276" spans="1:8" x14ac:dyDescent="0.2">
      <c r="D276" s="15"/>
    </row>
    <row r="283" spans="1:8" x14ac:dyDescent="0.2">
      <c r="A283" s="245" t="s">
        <v>1543</v>
      </c>
      <c r="B283" s="75"/>
      <c r="C283" s="3"/>
      <c r="D283" s="3"/>
      <c r="E283" s="3"/>
      <c r="F283" s="3"/>
      <c r="G283" s="3"/>
      <c r="H283" s="3"/>
    </row>
    <row r="284" spans="1:8" x14ac:dyDescent="0.2">
      <c r="A284" s="13" t="s">
        <v>8</v>
      </c>
    </row>
    <row r="286" spans="1:8" x14ac:dyDescent="0.2">
      <c r="A286" s="246" t="s">
        <v>9</v>
      </c>
      <c r="B286" s="246" t="s">
        <v>10</v>
      </c>
      <c r="C286" s="9" t="s">
        <v>6</v>
      </c>
      <c r="D286" s="9" t="s">
        <v>7</v>
      </c>
      <c r="E286" s="9" t="s">
        <v>11</v>
      </c>
      <c r="F286" s="9" t="s">
        <v>4</v>
      </c>
      <c r="G286" s="9" t="s">
        <v>5</v>
      </c>
    </row>
    <row r="287" spans="1:8" x14ac:dyDescent="0.2">
      <c r="A287" s="13" t="s">
        <v>2868</v>
      </c>
      <c r="B287" s="15">
        <v>32574</v>
      </c>
      <c r="C287" s="247">
        <f>B287</f>
        <v>32574</v>
      </c>
      <c r="D287" s="12"/>
      <c r="E287" s="12"/>
      <c r="F287" s="12"/>
      <c r="G287" s="12"/>
    </row>
    <row r="288" spans="1:8" s="13" customFormat="1" x14ac:dyDescent="0.2">
      <c r="A288" s="13" t="s">
        <v>13</v>
      </c>
      <c r="B288" s="15">
        <v>16355</v>
      </c>
      <c r="C288" s="247">
        <f>B288</f>
        <v>16355</v>
      </c>
      <c r="D288" s="12"/>
      <c r="E288" s="12"/>
      <c r="F288" s="12"/>
      <c r="G288" s="12"/>
    </row>
    <row r="289" spans="1:7" s="13" customFormat="1" x14ac:dyDescent="0.2">
      <c r="A289" s="13" t="s">
        <v>14</v>
      </c>
      <c r="B289" s="15">
        <v>7317</v>
      </c>
      <c r="C289" s="15">
        <f>B289</f>
        <v>7317</v>
      </c>
      <c r="D289" s="12"/>
      <c r="E289" s="12"/>
      <c r="F289" s="12"/>
      <c r="G289" s="12"/>
    </row>
    <row r="290" spans="1:7" s="13" customFormat="1" x14ac:dyDescent="0.2">
      <c r="A290" s="13" t="s">
        <v>2874</v>
      </c>
      <c r="B290" s="15">
        <v>22922</v>
      </c>
      <c r="C290" s="15">
        <f>B290</f>
        <v>22922</v>
      </c>
      <c r="D290" s="12"/>
      <c r="E290" s="12"/>
      <c r="F290" s="12"/>
      <c r="G290" s="12"/>
    </row>
    <row r="291" spans="1:7" s="13" customFormat="1" x14ac:dyDescent="0.2">
      <c r="A291" s="13" t="s">
        <v>16</v>
      </c>
      <c r="B291" s="15">
        <v>45866</v>
      </c>
      <c r="D291" s="15">
        <f>B291</f>
        <v>45866</v>
      </c>
    </row>
    <row r="292" spans="1:7" s="13" customFormat="1" x14ac:dyDescent="0.2">
      <c r="A292" s="13" t="s">
        <v>1445</v>
      </c>
      <c r="B292" s="15">
        <v>32693</v>
      </c>
      <c r="C292" s="15"/>
      <c r="D292" s="15">
        <f>B292</f>
        <v>32693</v>
      </c>
    </row>
    <row r="293" spans="1:7" s="13" customFormat="1" x14ac:dyDescent="0.2">
      <c r="A293" s="13" t="s">
        <v>17</v>
      </c>
      <c r="B293" s="15">
        <v>6977</v>
      </c>
      <c r="C293" s="15">
        <f>B293</f>
        <v>6977</v>
      </c>
    </row>
    <row r="294" spans="1:7" s="13" customFormat="1" x14ac:dyDescent="0.2">
      <c r="A294" s="13" t="s">
        <v>18</v>
      </c>
      <c r="B294" s="15">
        <v>19143</v>
      </c>
      <c r="C294" s="15">
        <f>B294</f>
        <v>19143</v>
      </c>
    </row>
    <row r="295" spans="1:7" s="13" customFormat="1" x14ac:dyDescent="0.2">
      <c r="A295" s="13" t="s">
        <v>19</v>
      </c>
      <c r="B295" s="15">
        <v>30005</v>
      </c>
      <c r="C295" s="15">
        <f>B295</f>
        <v>30005</v>
      </c>
    </row>
    <row r="296" spans="1:7" s="13" customFormat="1" x14ac:dyDescent="0.2">
      <c r="A296" s="13" t="s">
        <v>20</v>
      </c>
      <c r="B296" s="15">
        <v>33820</v>
      </c>
      <c r="C296" s="15">
        <f>B296</f>
        <v>33820</v>
      </c>
    </row>
    <row r="297" spans="1:7" s="13" customFormat="1" x14ac:dyDescent="0.2">
      <c r="A297" s="13" t="s">
        <v>21</v>
      </c>
      <c r="B297" s="15">
        <v>13019</v>
      </c>
      <c r="C297" s="15">
        <f>B297</f>
        <v>13019</v>
      </c>
    </row>
    <row r="298" spans="1:7" s="13" customFormat="1" x14ac:dyDescent="0.2">
      <c r="A298" s="13" t="s">
        <v>22</v>
      </c>
      <c r="B298" s="15">
        <v>20403</v>
      </c>
      <c r="C298" s="15"/>
      <c r="D298" s="15">
        <f>B298</f>
        <v>20403</v>
      </c>
    </row>
    <row r="299" spans="1:7" s="13" customFormat="1" ht="17" thickBot="1" x14ac:dyDescent="0.25">
      <c r="A299" s="13" t="s">
        <v>23</v>
      </c>
      <c r="B299" s="15">
        <v>45250</v>
      </c>
      <c r="C299" s="15"/>
      <c r="D299" s="15">
        <f>B299</f>
        <v>45250</v>
      </c>
    </row>
    <row r="300" spans="1:7" s="13" customFormat="1" x14ac:dyDescent="0.2">
      <c r="A300" s="13" t="s">
        <v>24</v>
      </c>
      <c r="B300" s="15">
        <v>49006</v>
      </c>
      <c r="C300" s="15"/>
      <c r="E300" s="482">
        <f>B300</f>
        <v>49006</v>
      </c>
    </row>
    <row r="301" spans="1:7" s="13" customFormat="1" ht="17" thickBot="1" x14ac:dyDescent="0.25">
      <c r="A301" s="13" t="s">
        <v>25</v>
      </c>
      <c r="B301" s="15">
        <v>50000</v>
      </c>
      <c r="C301" s="15"/>
      <c r="E301" s="483">
        <f>B301</f>
        <v>50000</v>
      </c>
    </row>
    <row r="302" spans="1:7" s="13" customFormat="1" x14ac:dyDescent="0.2">
      <c r="A302" s="13" t="s">
        <v>1446</v>
      </c>
      <c r="B302" s="15">
        <v>10000</v>
      </c>
      <c r="C302" s="316"/>
      <c r="D302" s="316"/>
      <c r="E302" s="316"/>
      <c r="F302" s="15">
        <f>B302</f>
        <v>10000</v>
      </c>
      <c r="G302" s="12"/>
    </row>
    <row r="303" spans="1:7" s="13" customFormat="1" x14ac:dyDescent="0.2">
      <c r="A303" s="13" t="s">
        <v>1250</v>
      </c>
      <c r="B303" s="15">
        <v>12000</v>
      </c>
      <c r="C303" s="15"/>
      <c r="D303" s="15"/>
      <c r="E303" s="15"/>
      <c r="F303" s="15">
        <f>B303</f>
        <v>12000</v>
      </c>
    </row>
    <row r="304" spans="1:7" s="13" customFormat="1" x14ac:dyDescent="0.2">
      <c r="A304" s="13" t="s">
        <v>1447</v>
      </c>
      <c r="B304" s="15">
        <v>11000</v>
      </c>
      <c r="C304" s="15"/>
      <c r="D304" s="15"/>
      <c r="E304" s="15"/>
      <c r="F304" s="15">
        <f>B304</f>
        <v>11000</v>
      </c>
    </row>
    <row r="305" spans="1:7" s="13" customFormat="1" x14ac:dyDescent="0.2">
      <c r="A305" s="13" t="s">
        <v>1448</v>
      </c>
      <c r="B305" s="15">
        <v>18000</v>
      </c>
      <c r="C305" s="15"/>
      <c r="D305" s="15"/>
      <c r="E305" s="15"/>
      <c r="F305" s="15">
        <f>B305</f>
        <v>18000</v>
      </c>
    </row>
    <row r="306" spans="1:7" s="13" customFormat="1" x14ac:dyDescent="0.2">
      <c r="A306" s="13" t="s">
        <v>1449</v>
      </c>
      <c r="B306" s="15">
        <v>67000</v>
      </c>
      <c r="G306" s="15">
        <f t="shared" ref="G306:G314" si="0">B306</f>
        <v>67000</v>
      </c>
    </row>
    <row r="307" spans="1:7" s="13" customFormat="1" x14ac:dyDescent="0.2">
      <c r="A307" s="13" t="s">
        <v>258</v>
      </c>
      <c r="B307" s="15">
        <v>12000</v>
      </c>
      <c r="G307" s="15">
        <f t="shared" si="0"/>
        <v>12000</v>
      </c>
    </row>
    <row r="308" spans="1:7" s="13" customFormat="1" x14ac:dyDescent="0.2">
      <c r="A308" s="13" t="s">
        <v>1450</v>
      </c>
      <c r="B308" s="15">
        <v>11000</v>
      </c>
      <c r="G308" s="15">
        <f t="shared" si="0"/>
        <v>11000</v>
      </c>
    </row>
    <row r="309" spans="1:7" s="13" customFormat="1" x14ac:dyDescent="0.2">
      <c r="A309" s="13" t="s">
        <v>1451</v>
      </c>
      <c r="B309" s="15">
        <v>13000</v>
      </c>
      <c r="G309" s="15">
        <f t="shared" si="0"/>
        <v>13000</v>
      </c>
    </row>
    <row r="310" spans="1:7" s="13" customFormat="1" x14ac:dyDescent="0.2">
      <c r="A310" s="13" t="s">
        <v>1452</v>
      </c>
      <c r="B310" s="15">
        <v>5000</v>
      </c>
      <c r="G310" s="15">
        <f t="shared" si="0"/>
        <v>5000</v>
      </c>
    </row>
    <row r="311" spans="1:7" s="13" customFormat="1" x14ac:dyDescent="0.2">
      <c r="A311" s="13" t="s">
        <v>1453</v>
      </c>
      <c r="B311" s="15">
        <v>2000</v>
      </c>
      <c r="C311" s="15"/>
      <c r="D311" s="15"/>
      <c r="E311" s="15"/>
      <c r="F311" s="15"/>
      <c r="G311" s="15">
        <f t="shared" si="0"/>
        <v>2000</v>
      </c>
    </row>
    <row r="312" spans="1:7" s="13" customFormat="1" x14ac:dyDescent="0.2">
      <c r="A312" s="13" t="s">
        <v>1454</v>
      </c>
      <c r="B312" s="15">
        <v>1000</v>
      </c>
      <c r="G312" s="15">
        <f t="shared" si="0"/>
        <v>1000</v>
      </c>
    </row>
    <row r="313" spans="1:7" s="13" customFormat="1" x14ac:dyDescent="0.2">
      <c r="A313" s="13" t="s">
        <v>1455</v>
      </c>
      <c r="B313" s="15">
        <v>2000</v>
      </c>
      <c r="G313" s="15">
        <f t="shared" si="0"/>
        <v>2000</v>
      </c>
    </row>
    <row r="314" spans="1:7" s="13" customFormat="1" x14ac:dyDescent="0.2">
      <c r="A314" s="13" t="s">
        <v>1456</v>
      </c>
      <c r="B314" s="15">
        <v>5000</v>
      </c>
      <c r="C314" s="15"/>
      <c r="D314" s="15"/>
      <c r="E314" s="15"/>
      <c r="F314" s="15"/>
      <c r="G314" s="15">
        <f t="shared" si="0"/>
        <v>5000</v>
      </c>
    </row>
    <row r="317" spans="1:7" x14ac:dyDescent="0.2">
      <c r="A317" s="14" t="s">
        <v>1793</v>
      </c>
    </row>
    <row r="318" spans="1:7" x14ac:dyDescent="0.2">
      <c r="A318" s="13" t="s">
        <v>2870</v>
      </c>
    </row>
    <row r="319" spans="1:7" x14ac:dyDescent="0.2">
      <c r="A319" s="13" t="s">
        <v>2869</v>
      </c>
    </row>
    <row r="321" spans="1:1" x14ac:dyDescent="0.2">
      <c r="A321" s="13" t="s">
        <v>2871</v>
      </c>
    </row>
    <row r="323" spans="1:1" x14ac:dyDescent="0.2">
      <c r="A323" s="13" t="s">
        <v>2873</v>
      </c>
    </row>
    <row r="324" spans="1:1" x14ac:dyDescent="0.2">
      <c r="A324" s="13" t="s">
        <v>2872</v>
      </c>
    </row>
    <row r="326" spans="1:1" x14ac:dyDescent="0.2">
      <c r="A326" s="13" t="s">
        <v>2876</v>
      </c>
    </row>
    <row r="327" spans="1:1" x14ac:dyDescent="0.2">
      <c r="A327" s="13" t="s">
        <v>2875</v>
      </c>
    </row>
    <row r="329" spans="1:1" x14ac:dyDescent="0.2">
      <c r="A329" s="13" t="s">
        <v>2880</v>
      </c>
    </row>
    <row r="330" spans="1:1" x14ac:dyDescent="0.2">
      <c r="A330" s="13" t="s">
        <v>2877</v>
      </c>
    </row>
    <row r="331" spans="1:1" x14ac:dyDescent="0.2">
      <c r="A331" s="13" t="s">
        <v>2878</v>
      </c>
    </row>
    <row r="332" spans="1:1" x14ac:dyDescent="0.2">
      <c r="A332" s="13" t="s">
        <v>2879</v>
      </c>
    </row>
    <row r="334" spans="1:1" x14ac:dyDescent="0.2">
      <c r="A334" s="13" t="s">
        <v>2882</v>
      </c>
    </row>
    <row r="335" spans="1:1" x14ac:dyDescent="0.2">
      <c r="A335" s="13" t="s">
        <v>2881</v>
      </c>
    </row>
    <row r="337" spans="1:1" x14ac:dyDescent="0.2">
      <c r="A337" s="13" t="s">
        <v>2884</v>
      </c>
    </row>
    <row r="338" spans="1:1" x14ac:dyDescent="0.2">
      <c r="A338" s="13" t="s">
        <v>2883</v>
      </c>
    </row>
    <row r="340" spans="1:1" x14ac:dyDescent="0.2">
      <c r="A340" s="13" t="s">
        <v>2885</v>
      </c>
    </row>
    <row r="342" spans="1:1" x14ac:dyDescent="0.2">
      <c r="A342" s="13" t="s">
        <v>2888</v>
      </c>
    </row>
    <row r="343" spans="1:1" x14ac:dyDescent="0.2">
      <c r="A343" s="13" t="s">
        <v>2886</v>
      </c>
    </row>
    <row r="344" spans="1:1" x14ac:dyDescent="0.2">
      <c r="A344" s="13" t="s">
        <v>2887</v>
      </c>
    </row>
    <row r="346" spans="1:1" x14ac:dyDescent="0.2">
      <c r="A346" s="13" t="s">
        <v>2890</v>
      </c>
    </row>
    <row r="347" spans="1:1" x14ac:dyDescent="0.2">
      <c r="A347" s="13" t="s">
        <v>2889</v>
      </c>
    </row>
    <row r="349" spans="1:1" x14ac:dyDescent="0.2">
      <c r="A349" s="13" t="s">
        <v>2891</v>
      </c>
    </row>
    <row r="351" spans="1:1" x14ac:dyDescent="0.2">
      <c r="A351" s="13" t="s">
        <v>2892</v>
      </c>
    </row>
    <row r="353" spans="1:8" x14ac:dyDescent="0.2">
      <c r="A353" s="13" t="s">
        <v>2893</v>
      </c>
    </row>
    <row r="355" spans="1:8" x14ac:dyDescent="0.2">
      <c r="A355" s="13" t="s">
        <v>2894</v>
      </c>
    </row>
    <row r="358" spans="1:8" x14ac:dyDescent="0.2">
      <c r="A358" s="245" t="s">
        <v>1457</v>
      </c>
      <c r="B358" s="75"/>
      <c r="C358" s="3"/>
      <c r="D358" s="3"/>
      <c r="E358" s="3"/>
      <c r="F358" s="3"/>
      <c r="G358" s="3"/>
      <c r="H358" s="3"/>
    </row>
    <row r="360" spans="1:8" x14ac:dyDescent="0.2">
      <c r="A360" s="13" t="s">
        <v>1458</v>
      </c>
    </row>
    <row r="361" spans="1:8" x14ac:dyDescent="0.2">
      <c r="A361" s="13" t="s">
        <v>1459</v>
      </c>
    </row>
    <row r="362" spans="1:8" x14ac:dyDescent="0.2">
      <c r="A362" s="13" t="s">
        <v>1460</v>
      </c>
    </row>
    <row r="363" spans="1:8" x14ac:dyDescent="0.2">
      <c r="A363" s="13" t="s">
        <v>1461</v>
      </c>
    </row>
    <row r="364" spans="1:8" x14ac:dyDescent="0.2">
      <c r="A364" s="13" t="s">
        <v>1462</v>
      </c>
    </row>
    <row r="365" spans="1:8" x14ac:dyDescent="0.2">
      <c r="A365" s="13" t="s">
        <v>1463</v>
      </c>
    </row>
  </sheetData>
  <mergeCells count="6">
    <mergeCell ref="B179:H179"/>
    <mergeCell ref="E17:H17"/>
    <mergeCell ref="F149:H149"/>
    <mergeCell ref="I68:M68"/>
    <mergeCell ref="I69:M69"/>
    <mergeCell ref="I83:K83"/>
  </mergeCells>
  <pageMargins left="0.7" right="0.7" top="0.75" bottom="0.75" header="0.3" footer="0.3"/>
  <pageSetup paperSize="9" scale="80"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8DC11-3F91-3047-9C45-5B2942B2C877}">
  <dimension ref="A1:H61"/>
  <sheetViews>
    <sheetView rightToLeft="1" zoomScale="289" zoomScaleNormal="229" zoomScaleSheetLayoutView="331" workbookViewId="0">
      <selection activeCell="G23" sqref="G23"/>
    </sheetView>
  </sheetViews>
  <sheetFormatPr baseColWidth="10" defaultRowHeight="16" x14ac:dyDescent="0.2"/>
  <cols>
    <col min="1" max="16384" width="10.83203125" style="1"/>
  </cols>
  <sheetData>
    <row r="1" spans="1:8" x14ac:dyDescent="0.2">
      <c r="A1" s="7" t="s">
        <v>63</v>
      </c>
      <c r="B1" s="7"/>
      <c r="C1" s="7"/>
      <c r="D1" s="7"/>
      <c r="E1" s="7"/>
      <c r="F1" s="7"/>
      <c r="G1" s="7"/>
      <c r="H1" s="7"/>
    </row>
    <row r="2" spans="1:8" x14ac:dyDescent="0.2">
      <c r="A2" s="1" t="s">
        <v>64</v>
      </c>
    </row>
    <row r="3" spans="1:8" x14ac:dyDescent="0.2">
      <c r="A3" s="1" t="s">
        <v>65</v>
      </c>
    </row>
    <row r="4" spans="1:8" x14ac:dyDescent="0.2">
      <c r="A4" s="1" t="s">
        <v>66</v>
      </c>
    </row>
    <row r="6" spans="1:8" x14ac:dyDescent="0.2">
      <c r="A6" s="7" t="s">
        <v>27</v>
      </c>
      <c r="B6" s="3"/>
      <c r="C6" s="3"/>
      <c r="D6" s="3"/>
      <c r="E6" s="3"/>
      <c r="F6" s="3"/>
      <c r="G6" s="3"/>
      <c r="H6" s="3"/>
    </row>
    <row r="7" spans="1:8" x14ac:dyDescent="0.2">
      <c r="A7" s="1" t="s">
        <v>28</v>
      </c>
    </row>
    <row r="8" spans="1:8" x14ac:dyDescent="0.2">
      <c r="A8" s="1" t="s">
        <v>29</v>
      </c>
    </row>
    <row r="9" spans="1:8" x14ac:dyDescent="0.2">
      <c r="A9" s="1" t="s">
        <v>31</v>
      </c>
    </row>
    <row r="10" spans="1:8" x14ac:dyDescent="0.2">
      <c r="A10" s="1" t="s">
        <v>30</v>
      </c>
    </row>
    <row r="12" spans="1:8" x14ac:dyDescent="0.2">
      <c r="A12" s="7" t="s">
        <v>32</v>
      </c>
      <c r="B12" s="3"/>
      <c r="C12" s="3"/>
      <c r="D12" s="3"/>
      <c r="E12" s="3"/>
      <c r="F12" s="3"/>
      <c r="G12" s="3"/>
      <c r="H12" s="3"/>
    </row>
    <row r="13" spans="1:8" x14ac:dyDescent="0.2">
      <c r="A13" s="1" t="s">
        <v>33</v>
      </c>
    </row>
    <row r="14" spans="1:8" x14ac:dyDescent="0.2">
      <c r="A14" s="1" t="s">
        <v>34</v>
      </c>
    </row>
    <row r="15" spans="1:8" x14ac:dyDescent="0.2">
      <c r="A15" s="1" t="s">
        <v>35</v>
      </c>
    </row>
    <row r="16" spans="1:8" x14ac:dyDescent="0.2">
      <c r="A16" s="1" t="s">
        <v>36</v>
      </c>
    </row>
    <row r="17" spans="1:8" x14ac:dyDescent="0.2">
      <c r="A17" s="1" t="s">
        <v>37</v>
      </c>
    </row>
    <row r="19" spans="1:8" x14ac:dyDescent="0.2">
      <c r="A19" s="7" t="s">
        <v>40</v>
      </c>
      <c r="B19" s="3"/>
      <c r="C19" s="3"/>
      <c r="D19" s="3"/>
      <c r="E19" s="3"/>
      <c r="F19" s="3"/>
      <c r="G19" s="3"/>
      <c r="H19" s="3"/>
    </row>
    <row r="20" spans="1:8" x14ac:dyDescent="0.2">
      <c r="A20" s="1" t="s">
        <v>38</v>
      </c>
    </row>
    <row r="21" spans="1:8" x14ac:dyDescent="0.2">
      <c r="A21" s="1" t="s">
        <v>39</v>
      </c>
    </row>
    <row r="23" spans="1:8" x14ac:dyDescent="0.2">
      <c r="A23" s="8" t="s">
        <v>41</v>
      </c>
    </row>
    <row r="25" spans="1:8" x14ac:dyDescent="0.2">
      <c r="A25" s="1" t="s">
        <v>42</v>
      </c>
    </row>
    <row r="26" spans="1:8" x14ac:dyDescent="0.2">
      <c r="A26" s="1" t="s">
        <v>2282</v>
      </c>
    </row>
    <row r="27" spans="1:8" x14ac:dyDescent="0.2">
      <c r="A27" s="1" t="s">
        <v>43</v>
      </c>
    </row>
    <row r="29" spans="1:8" x14ac:dyDescent="0.2">
      <c r="A29" s="1" t="s">
        <v>44</v>
      </c>
    </row>
    <row r="30" spans="1:8" x14ac:dyDescent="0.2">
      <c r="A30" s="1" t="s">
        <v>45</v>
      </c>
    </row>
    <row r="32" spans="1:8" x14ac:dyDescent="0.2">
      <c r="A32" s="123" t="s">
        <v>46</v>
      </c>
    </row>
    <row r="33" spans="1:8" x14ac:dyDescent="0.2">
      <c r="A33" s="1" t="s">
        <v>47</v>
      </c>
    </row>
    <row r="35" spans="1:8" x14ac:dyDescent="0.2">
      <c r="A35" s="7" t="s">
        <v>48</v>
      </c>
      <c r="B35" s="3"/>
      <c r="C35" s="3"/>
      <c r="D35" s="3"/>
      <c r="E35" s="3"/>
      <c r="F35" s="3"/>
      <c r="G35" s="3"/>
      <c r="H35" s="3"/>
    </row>
    <row r="36" spans="1:8" x14ac:dyDescent="0.2">
      <c r="A36" s="1" t="s">
        <v>49</v>
      </c>
    </row>
    <row r="37" spans="1:8" x14ac:dyDescent="0.2">
      <c r="A37" s="1" t="s">
        <v>50</v>
      </c>
    </row>
    <row r="38" spans="1:8" x14ac:dyDescent="0.2">
      <c r="A38" s="1" t="s">
        <v>51</v>
      </c>
    </row>
    <row r="39" spans="1:8" x14ac:dyDescent="0.2">
      <c r="A39" s="1" t="s">
        <v>52</v>
      </c>
    </row>
    <row r="41" spans="1:8" x14ac:dyDescent="0.2">
      <c r="A41" s="7" t="s">
        <v>53</v>
      </c>
      <c r="B41" s="3"/>
      <c r="C41" s="3"/>
      <c r="D41" s="3"/>
      <c r="E41" s="3"/>
      <c r="F41" s="3"/>
      <c r="G41" s="3"/>
      <c r="H41" s="3"/>
    </row>
    <row r="42" spans="1:8" x14ac:dyDescent="0.2">
      <c r="A42" s="1" t="s">
        <v>54</v>
      </c>
    </row>
    <row r="43" spans="1:8" x14ac:dyDescent="0.2">
      <c r="A43" s="1" t="s">
        <v>55</v>
      </c>
    </row>
    <row r="45" spans="1:8" x14ac:dyDescent="0.2">
      <c r="A45" s="7" t="s">
        <v>56</v>
      </c>
      <c r="B45" s="3"/>
      <c r="C45" s="3"/>
      <c r="D45" s="3"/>
      <c r="E45" s="3"/>
      <c r="F45" s="3"/>
      <c r="G45" s="3"/>
      <c r="H45" s="3"/>
    </row>
    <row r="46" spans="1:8" x14ac:dyDescent="0.2">
      <c r="A46" s="1" t="s">
        <v>57</v>
      </c>
    </row>
    <row r="48" spans="1:8" x14ac:dyDescent="0.2">
      <c r="A48" s="7" t="s">
        <v>58</v>
      </c>
      <c r="B48" s="7"/>
      <c r="C48" s="7"/>
      <c r="D48" s="7"/>
      <c r="E48" s="7"/>
      <c r="F48" s="7"/>
      <c r="G48" s="7"/>
      <c r="H48" s="7"/>
    </row>
    <row r="49" spans="1:8" x14ac:dyDescent="0.2">
      <c r="A49" s="1" t="s">
        <v>60</v>
      </c>
    </row>
    <row r="50" spans="1:8" x14ac:dyDescent="0.2">
      <c r="A50" s="1" t="s">
        <v>59</v>
      </c>
    </row>
    <row r="52" spans="1:8" x14ac:dyDescent="0.2">
      <c r="A52" s="7" t="s">
        <v>61</v>
      </c>
      <c r="B52" s="7"/>
      <c r="C52" s="7"/>
      <c r="D52" s="7"/>
      <c r="E52" s="7"/>
      <c r="F52" s="7"/>
      <c r="G52" s="7"/>
      <c r="H52" s="7"/>
    </row>
    <row r="53" spans="1:8" x14ac:dyDescent="0.2">
      <c r="A53" s="1" t="s">
        <v>62</v>
      </c>
    </row>
    <row r="55" spans="1:8" x14ac:dyDescent="0.2">
      <c r="A55" s="7" t="s">
        <v>1464</v>
      </c>
      <c r="B55" s="7"/>
      <c r="C55" s="7"/>
      <c r="D55" s="7"/>
      <c r="E55" s="7"/>
      <c r="F55" s="7"/>
      <c r="G55" s="7"/>
      <c r="H55" s="7"/>
    </row>
    <row r="56" spans="1:8" x14ac:dyDescent="0.2">
      <c r="A56" s="1" t="s">
        <v>1465</v>
      </c>
    </row>
    <row r="57" spans="1:8" x14ac:dyDescent="0.2">
      <c r="A57" s="1" t="s">
        <v>1466</v>
      </c>
    </row>
    <row r="59" spans="1:8" x14ac:dyDescent="0.2">
      <c r="A59" s="7" t="s">
        <v>1467</v>
      </c>
      <c r="B59" s="7"/>
      <c r="C59" s="7"/>
      <c r="D59" s="7"/>
      <c r="E59" s="7"/>
      <c r="F59" s="7"/>
      <c r="G59" s="7"/>
      <c r="H59" s="7"/>
    </row>
    <row r="60" spans="1:8" x14ac:dyDescent="0.2">
      <c r="A60" s="1" t="s">
        <v>1468</v>
      </c>
    </row>
    <row r="61" spans="1:8" x14ac:dyDescent="0.2">
      <c r="A61" s="1" t="s">
        <v>1469</v>
      </c>
    </row>
  </sheetData>
  <pageMargins left="0.7" right="0.7" top="0.75" bottom="0.75" header="0.3" footer="0.3"/>
  <pageSetup paperSize="9" scale="95"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C328E-5EE4-D145-B4A4-9DCD16EE5E16}">
  <dimension ref="A1:H79"/>
  <sheetViews>
    <sheetView rightToLeft="1" zoomScale="200" workbookViewId="0">
      <selection activeCell="C26" sqref="C26"/>
    </sheetView>
  </sheetViews>
  <sheetFormatPr baseColWidth="10" defaultRowHeight="16" x14ac:dyDescent="0.2"/>
  <cols>
    <col min="1" max="1" width="20.83203125" style="1" customWidth="1"/>
    <col min="2" max="16384" width="10.83203125" style="1"/>
  </cols>
  <sheetData>
    <row r="1" spans="1:8" x14ac:dyDescent="0.2">
      <c r="A1" s="3" t="s">
        <v>1470</v>
      </c>
      <c r="B1" s="3"/>
      <c r="C1" s="3"/>
      <c r="D1" s="3"/>
      <c r="E1" s="3"/>
      <c r="F1" s="3"/>
      <c r="G1" s="3"/>
      <c r="H1" s="3"/>
    </row>
    <row r="3" spans="1:8" x14ac:dyDescent="0.2">
      <c r="A3" s="1" t="s">
        <v>1471</v>
      </c>
    </row>
    <row r="4" spans="1:8" x14ac:dyDescent="0.2">
      <c r="A4" s="1" t="s">
        <v>1472</v>
      </c>
    </row>
    <row r="6" spans="1:8" x14ac:dyDescent="0.2">
      <c r="A6" s="1" t="s">
        <v>1492</v>
      </c>
    </row>
    <row r="7" spans="1:8" x14ac:dyDescent="0.2">
      <c r="A7" s="1" t="s">
        <v>1493</v>
      </c>
    </row>
    <row r="9" spans="1:8" ht="34" x14ac:dyDescent="0.2">
      <c r="A9" s="1" t="s">
        <v>9</v>
      </c>
      <c r="B9" s="30" t="s">
        <v>1473</v>
      </c>
      <c r="C9" s="1" t="s">
        <v>6</v>
      </c>
      <c r="D9" s="1" t="s">
        <v>7</v>
      </c>
      <c r="E9" s="1" t="s">
        <v>124</v>
      </c>
      <c r="F9" s="1" t="s">
        <v>4</v>
      </c>
      <c r="G9" s="1" t="s">
        <v>5</v>
      </c>
    </row>
    <row r="10" spans="1:8" x14ac:dyDescent="0.2">
      <c r="A10" s="1" t="s">
        <v>1474</v>
      </c>
      <c r="B10" s="23">
        <v>19255</v>
      </c>
    </row>
    <row r="11" spans="1:8" x14ac:dyDescent="0.2">
      <c r="A11" s="1" t="s">
        <v>12</v>
      </c>
      <c r="B11" s="23">
        <v>15401</v>
      </c>
    </row>
    <row r="12" spans="1:8" x14ac:dyDescent="0.2">
      <c r="A12" s="1" t="s">
        <v>1475</v>
      </c>
      <c r="B12" s="23">
        <v>8208</v>
      </c>
    </row>
    <row r="13" spans="1:8" x14ac:dyDescent="0.2">
      <c r="A13" s="1" t="s">
        <v>1476</v>
      </c>
      <c r="B13" s="23">
        <v>6681</v>
      </c>
    </row>
    <row r="14" spans="1:8" x14ac:dyDescent="0.2">
      <c r="A14" s="1" t="s">
        <v>16</v>
      </c>
      <c r="B14" s="23">
        <v>16465</v>
      </c>
    </row>
    <row r="15" spans="1:8" x14ac:dyDescent="0.2">
      <c r="A15" s="1" t="s">
        <v>1477</v>
      </c>
      <c r="B15" s="23">
        <v>12680</v>
      </c>
    </row>
    <row r="16" spans="1:8" x14ac:dyDescent="0.2">
      <c r="A16" s="1" t="s">
        <v>1478</v>
      </c>
      <c r="B16" s="23">
        <v>6660</v>
      </c>
    </row>
    <row r="17" spans="1:2" x14ac:dyDescent="0.2">
      <c r="A17" s="1" t="s">
        <v>1449</v>
      </c>
      <c r="B17" s="23">
        <v>14439</v>
      </c>
    </row>
    <row r="18" spans="1:2" x14ac:dyDescent="0.2">
      <c r="A18" s="1" t="s">
        <v>14</v>
      </c>
      <c r="B18" s="23">
        <v>19591</v>
      </c>
    </row>
    <row r="19" spans="1:2" x14ac:dyDescent="0.2">
      <c r="A19" s="1" t="s">
        <v>1479</v>
      </c>
      <c r="B19" s="23">
        <v>3612</v>
      </c>
    </row>
    <row r="20" spans="1:2" x14ac:dyDescent="0.2">
      <c r="A20" s="1" t="s">
        <v>24</v>
      </c>
      <c r="B20" s="23">
        <v>6237</v>
      </c>
    </row>
    <row r="21" spans="1:2" x14ac:dyDescent="0.2">
      <c r="A21" s="1" t="s">
        <v>15</v>
      </c>
      <c r="B21" s="23">
        <v>2015</v>
      </c>
    </row>
    <row r="22" spans="1:2" x14ac:dyDescent="0.2">
      <c r="A22" s="1" t="s">
        <v>1480</v>
      </c>
      <c r="B22" s="23">
        <v>3012</v>
      </c>
    </row>
    <row r="23" spans="1:2" x14ac:dyDescent="0.2">
      <c r="A23" s="1" t="s">
        <v>1481</v>
      </c>
      <c r="B23" s="23">
        <v>1541</v>
      </c>
    </row>
    <row r="24" spans="1:2" x14ac:dyDescent="0.2">
      <c r="A24" s="1" t="s">
        <v>1482</v>
      </c>
      <c r="B24" s="23">
        <v>1518</v>
      </c>
    </row>
    <row r="25" spans="1:2" x14ac:dyDescent="0.2">
      <c r="A25" s="1" t="s">
        <v>1483</v>
      </c>
      <c r="B25" s="23">
        <v>11049</v>
      </c>
    </row>
    <row r="26" spans="1:2" x14ac:dyDescent="0.2">
      <c r="A26" s="1" t="s">
        <v>1484</v>
      </c>
      <c r="B26" s="23">
        <v>6827</v>
      </c>
    </row>
    <row r="27" spans="1:2" x14ac:dyDescent="0.2">
      <c r="A27" s="1" t="s">
        <v>1164</v>
      </c>
      <c r="B27" s="23">
        <v>10447</v>
      </c>
    </row>
    <row r="28" spans="1:2" x14ac:dyDescent="0.2">
      <c r="A28" s="1" t="s">
        <v>19</v>
      </c>
      <c r="B28" s="23">
        <v>17354</v>
      </c>
    </row>
    <row r="29" spans="1:2" x14ac:dyDescent="0.2">
      <c r="A29" s="1" t="s">
        <v>1485</v>
      </c>
      <c r="B29" s="23">
        <v>19444</v>
      </c>
    </row>
    <row r="30" spans="1:2" x14ac:dyDescent="0.2">
      <c r="A30" s="1" t="s">
        <v>1486</v>
      </c>
      <c r="B30" s="23">
        <v>2953</v>
      </c>
    </row>
    <row r="31" spans="1:2" x14ac:dyDescent="0.2">
      <c r="A31" s="1" t="s">
        <v>1487</v>
      </c>
      <c r="B31" s="23">
        <v>5401</v>
      </c>
    </row>
    <row r="32" spans="1:2" x14ac:dyDescent="0.2">
      <c r="A32" s="1" t="s">
        <v>1451</v>
      </c>
      <c r="B32" s="23">
        <v>6710</v>
      </c>
    </row>
    <row r="33" spans="1:7" x14ac:dyDescent="0.2">
      <c r="A33" s="1" t="s">
        <v>1453</v>
      </c>
      <c r="B33" s="23">
        <v>13204</v>
      </c>
    </row>
    <row r="34" spans="1:7" x14ac:dyDescent="0.2">
      <c r="A34" s="1" t="s">
        <v>1488</v>
      </c>
      <c r="B34" s="23">
        <v>13393</v>
      </c>
    </row>
    <row r="35" spans="1:7" x14ac:dyDescent="0.2">
      <c r="A35" s="1" t="s">
        <v>1251</v>
      </c>
      <c r="B35" s="23">
        <v>6000</v>
      </c>
    </row>
    <row r="36" spans="1:7" x14ac:dyDescent="0.2">
      <c r="A36" s="1" t="s">
        <v>261</v>
      </c>
      <c r="B36" s="23">
        <v>3000</v>
      </c>
    </row>
    <row r="37" spans="1:7" x14ac:dyDescent="0.2">
      <c r="A37" s="1" t="s">
        <v>1489</v>
      </c>
      <c r="B37" s="23">
        <v>8000</v>
      </c>
    </row>
    <row r="38" spans="1:7" x14ac:dyDescent="0.2">
      <c r="A38" s="1" t="s">
        <v>1490</v>
      </c>
      <c r="B38" s="23">
        <v>440000</v>
      </c>
    </row>
    <row r="39" spans="1:7" x14ac:dyDescent="0.2">
      <c r="A39" s="1" t="s">
        <v>1446</v>
      </c>
      <c r="B39" s="23">
        <v>24000</v>
      </c>
    </row>
    <row r="40" spans="1:7" x14ac:dyDescent="0.2">
      <c r="A40" s="1" t="s">
        <v>1491</v>
      </c>
      <c r="B40" s="23">
        <v>70000</v>
      </c>
    </row>
    <row r="41" spans="1:7" x14ac:dyDescent="0.2">
      <c r="A41" s="1" t="s">
        <v>1237</v>
      </c>
      <c r="B41" s="23">
        <v>8000</v>
      </c>
    </row>
    <row r="42" spans="1:7" x14ac:dyDescent="0.2">
      <c r="A42" s="1" t="s">
        <v>1250</v>
      </c>
      <c r="B42" s="23">
        <v>12000</v>
      </c>
    </row>
    <row r="44" spans="1:7" x14ac:dyDescent="0.2">
      <c r="A44" s="2" t="s">
        <v>657</v>
      </c>
    </row>
    <row r="46" spans="1:7" ht="34" x14ac:dyDescent="0.2">
      <c r="A46" s="1" t="s">
        <v>9</v>
      </c>
      <c r="B46" s="30" t="s">
        <v>1473</v>
      </c>
      <c r="C46" s="1" t="s">
        <v>6</v>
      </c>
      <c r="D46" s="1" t="s">
        <v>7</v>
      </c>
      <c r="E46" s="1" t="s">
        <v>124</v>
      </c>
      <c r="F46" s="1" t="s">
        <v>4</v>
      </c>
      <c r="G46" s="1" t="s">
        <v>5</v>
      </c>
    </row>
    <row r="47" spans="1:7" x14ac:dyDescent="0.2">
      <c r="A47" s="1" t="s">
        <v>1474</v>
      </c>
      <c r="B47" s="23">
        <v>19255</v>
      </c>
      <c r="C47" s="23">
        <f>B47</f>
        <v>19255</v>
      </c>
    </row>
    <row r="48" spans="1:7" x14ac:dyDescent="0.2">
      <c r="A48" s="1" t="s">
        <v>12</v>
      </c>
      <c r="B48" s="23">
        <v>15401</v>
      </c>
      <c r="C48" s="23">
        <f>B48</f>
        <v>15401</v>
      </c>
    </row>
    <row r="49" spans="1:7" x14ac:dyDescent="0.2">
      <c r="A49" s="1" t="s">
        <v>1475</v>
      </c>
      <c r="B49" s="23">
        <v>8208</v>
      </c>
      <c r="C49" s="23">
        <f>B49</f>
        <v>8208</v>
      </c>
    </row>
    <row r="50" spans="1:7" x14ac:dyDescent="0.2">
      <c r="A50" s="1" t="s">
        <v>1476</v>
      </c>
      <c r="B50" s="23">
        <v>6681</v>
      </c>
      <c r="C50" s="23">
        <f>B50</f>
        <v>6681</v>
      </c>
    </row>
    <row r="51" spans="1:7" x14ac:dyDescent="0.2">
      <c r="A51" s="1" t="s">
        <v>16</v>
      </c>
      <c r="B51" s="23">
        <v>16465</v>
      </c>
      <c r="D51" s="23">
        <f>B51</f>
        <v>16465</v>
      </c>
    </row>
    <row r="52" spans="1:7" x14ac:dyDescent="0.2">
      <c r="A52" s="1" t="s">
        <v>1477</v>
      </c>
      <c r="B52" s="23">
        <v>12680</v>
      </c>
      <c r="C52" s="23">
        <f>B52</f>
        <v>12680</v>
      </c>
    </row>
    <row r="53" spans="1:7" x14ac:dyDescent="0.2">
      <c r="A53" s="1" t="s">
        <v>1478</v>
      </c>
      <c r="B53" s="23">
        <v>6660</v>
      </c>
      <c r="D53" s="23">
        <f>B53</f>
        <v>6660</v>
      </c>
    </row>
    <row r="54" spans="1:7" x14ac:dyDescent="0.2">
      <c r="A54" s="1" t="s">
        <v>1449</v>
      </c>
      <c r="B54" s="23">
        <v>14439</v>
      </c>
      <c r="G54" s="23">
        <f>B54</f>
        <v>14439</v>
      </c>
    </row>
    <row r="55" spans="1:7" x14ac:dyDescent="0.2">
      <c r="A55" s="1" t="s">
        <v>14</v>
      </c>
      <c r="B55" s="23">
        <v>19591</v>
      </c>
      <c r="C55" s="23">
        <f>B55</f>
        <v>19591</v>
      </c>
    </row>
    <row r="56" spans="1:7" x14ac:dyDescent="0.2">
      <c r="A56" s="1" t="s">
        <v>1479</v>
      </c>
      <c r="B56" s="23">
        <v>3612</v>
      </c>
      <c r="G56" s="23">
        <f>B56</f>
        <v>3612</v>
      </c>
    </row>
    <row r="57" spans="1:7" x14ac:dyDescent="0.2">
      <c r="A57" s="1" t="s">
        <v>24</v>
      </c>
      <c r="B57" s="23">
        <v>6237</v>
      </c>
      <c r="E57" s="23">
        <f>B57</f>
        <v>6237</v>
      </c>
    </row>
    <row r="58" spans="1:7" x14ac:dyDescent="0.2">
      <c r="A58" s="1" t="s">
        <v>15</v>
      </c>
      <c r="B58" s="23">
        <v>2015</v>
      </c>
      <c r="C58" s="23">
        <f>B58</f>
        <v>2015</v>
      </c>
    </row>
    <row r="59" spans="1:7" x14ac:dyDescent="0.2">
      <c r="A59" s="1" t="s">
        <v>1480</v>
      </c>
      <c r="B59" s="23">
        <v>3012</v>
      </c>
      <c r="C59" s="23">
        <f>B59</f>
        <v>3012</v>
      </c>
    </row>
    <row r="60" spans="1:7" x14ac:dyDescent="0.2">
      <c r="A60" s="1" t="s">
        <v>1481</v>
      </c>
      <c r="B60" s="23">
        <v>1541</v>
      </c>
      <c r="D60" s="23">
        <f>B60</f>
        <v>1541</v>
      </c>
    </row>
    <row r="61" spans="1:7" x14ac:dyDescent="0.2">
      <c r="A61" s="1" t="s">
        <v>1482</v>
      </c>
      <c r="B61" s="23">
        <v>1518</v>
      </c>
      <c r="D61" s="23">
        <f>B61</f>
        <v>1518</v>
      </c>
    </row>
    <row r="62" spans="1:7" x14ac:dyDescent="0.2">
      <c r="A62" s="1" t="s">
        <v>1483</v>
      </c>
      <c r="B62" s="23">
        <v>11049</v>
      </c>
      <c r="D62" s="23">
        <f>B62</f>
        <v>11049</v>
      </c>
    </row>
    <row r="63" spans="1:7" x14ac:dyDescent="0.2">
      <c r="A63" s="1" t="s">
        <v>1484</v>
      </c>
      <c r="B63" s="23">
        <v>6827</v>
      </c>
      <c r="C63" s="23">
        <f>B63</f>
        <v>6827</v>
      </c>
    </row>
    <row r="64" spans="1:7" x14ac:dyDescent="0.2">
      <c r="A64" s="1" t="s">
        <v>1164</v>
      </c>
      <c r="B64" s="23">
        <v>10447</v>
      </c>
      <c r="E64" s="23">
        <f>B64</f>
        <v>10447</v>
      </c>
    </row>
    <row r="65" spans="1:7" x14ac:dyDescent="0.2">
      <c r="A65" s="1" t="s">
        <v>19</v>
      </c>
      <c r="B65" s="23">
        <v>17354</v>
      </c>
      <c r="C65" s="23">
        <f>B65</f>
        <v>17354</v>
      </c>
    </row>
    <row r="66" spans="1:7" x14ac:dyDescent="0.2">
      <c r="A66" s="1" t="s">
        <v>1485</v>
      </c>
      <c r="B66" s="23">
        <v>19444</v>
      </c>
      <c r="C66" s="23">
        <f>B66</f>
        <v>19444</v>
      </c>
    </row>
    <row r="67" spans="1:7" x14ac:dyDescent="0.2">
      <c r="A67" s="1" t="s">
        <v>1486</v>
      </c>
      <c r="B67" s="23">
        <v>2953</v>
      </c>
      <c r="C67" s="23">
        <f>B67</f>
        <v>2953</v>
      </c>
    </row>
    <row r="68" spans="1:7" x14ac:dyDescent="0.2">
      <c r="A68" s="1" t="s">
        <v>1487</v>
      </c>
      <c r="B68" s="23">
        <v>5401</v>
      </c>
      <c r="G68" s="23">
        <f t="shared" ref="G68:G74" si="0">B68</f>
        <v>5401</v>
      </c>
    </row>
    <row r="69" spans="1:7" x14ac:dyDescent="0.2">
      <c r="A69" s="1" t="s">
        <v>1451</v>
      </c>
      <c r="B69" s="23">
        <v>6710</v>
      </c>
      <c r="G69" s="23">
        <f t="shared" si="0"/>
        <v>6710</v>
      </c>
    </row>
    <row r="70" spans="1:7" x14ac:dyDescent="0.2">
      <c r="A70" s="1" t="s">
        <v>1453</v>
      </c>
      <c r="B70" s="23">
        <v>13204</v>
      </c>
      <c r="G70" s="23">
        <f t="shared" si="0"/>
        <v>13204</v>
      </c>
    </row>
    <row r="71" spans="1:7" x14ac:dyDescent="0.2">
      <c r="A71" s="1" t="s">
        <v>1488</v>
      </c>
      <c r="B71" s="23">
        <v>13393</v>
      </c>
      <c r="G71" s="23">
        <f t="shared" si="0"/>
        <v>13393</v>
      </c>
    </row>
    <row r="72" spans="1:7" x14ac:dyDescent="0.2">
      <c r="A72" s="1" t="s">
        <v>1251</v>
      </c>
      <c r="B72" s="23">
        <v>6000</v>
      </c>
      <c r="G72" s="23">
        <f t="shared" si="0"/>
        <v>6000</v>
      </c>
    </row>
    <row r="73" spans="1:7" x14ac:dyDescent="0.2">
      <c r="A73" s="1" t="s">
        <v>261</v>
      </c>
      <c r="B73" s="23">
        <v>3000</v>
      </c>
      <c r="G73" s="23">
        <f t="shared" si="0"/>
        <v>3000</v>
      </c>
    </row>
    <row r="74" spans="1:7" x14ac:dyDescent="0.2">
      <c r="A74" s="1" t="s">
        <v>1489</v>
      </c>
      <c r="B74" s="23">
        <v>8000</v>
      </c>
      <c r="G74" s="23">
        <f t="shared" si="0"/>
        <v>8000</v>
      </c>
    </row>
    <row r="75" spans="1:7" x14ac:dyDescent="0.2">
      <c r="A75" s="1" t="s">
        <v>1490</v>
      </c>
      <c r="B75" s="23">
        <v>440000</v>
      </c>
      <c r="F75" s="23">
        <f>B75</f>
        <v>440000</v>
      </c>
    </row>
    <row r="76" spans="1:7" x14ac:dyDescent="0.2">
      <c r="A76" s="1" t="s">
        <v>1446</v>
      </c>
      <c r="B76" s="23">
        <v>24000</v>
      </c>
      <c r="F76" s="23">
        <f>B76</f>
        <v>24000</v>
      </c>
    </row>
    <row r="77" spans="1:7" x14ac:dyDescent="0.2">
      <c r="A77" s="1" t="s">
        <v>1491</v>
      </c>
      <c r="B77" s="23">
        <v>70000</v>
      </c>
      <c r="G77" s="23">
        <f>B77</f>
        <v>70000</v>
      </c>
    </row>
    <row r="78" spans="1:7" x14ac:dyDescent="0.2">
      <c r="A78" s="1" t="s">
        <v>1237</v>
      </c>
      <c r="B78" s="23">
        <v>8000</v>
      </c>
      <c r="G78" s="23">
        <f>B78</f>
        <v>8000</v>
      </c>
    </row>
    <row r="79" spans="1:7" x14ac:dyDescent="0.2">
      <c r="A79" s="1" t="s">
        <v>1250</v>
      </c>
      <c r="B79" s="23">
        <v>12000</v>
      </c>
      <c r="F79" s="23">
        <f>B79</f>
        <v>12000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96A76-FE90-074E-A485-DF6DBC3C6AED}">
  <dimension ref="A1:R497"/>
  <sheetViews>
    <sheetView rightToLeft="1" tabSelected="1" topLeftCell="A163" zoomScale="274" zoomScaleNormal="310" workbookViewId="0">
      <pane ySplit="1" topLeftCell="A194" activePane="bottomLeft" state="frozen"/>
      <selection activeCell="A163" sqref="A163"/>
      <selection pane="bottomLeft" activeCell="A163" sqref="A163:XFD208"/>
    </sheetView>
  </sheetViews>
  <sheetFormatPr baseColWidth="10" defaultRowHeight="16" x14ac:dyDescent="0.2"/>
  <cols>
    <col min="1" max="16384" width="10.83203125" style="1"/>
  </cols>
  <sheetData>
    <row r="1" spans="1:8" x14ac:dyDescent="0.2">
      <c r="A1" s="7" t="s">
        <v>3454</v>
      </c>
      <c r="B1" s="7"/>
      <c r="C1" s="7"/>
      <c r="D1" s="7"/>
      <c r="E1" s="7"/>
      <c r="F1" s="7"/>
      <c r="G1" s="7"/>
      <c r="H1" s="250">
        <v>45966</v>
      </c>
    </row>
    <row r="2" spans="1:8" x14ac:dyDescent="0.2">
      <c r="A2" s="7" t="s">
        <v>3455</v>
      </c>
      <c r="B2" s="7"/>
      <c r="C2" s="7"/>
      <c r="D2" s="7"/>
      <c r="E2" s="7"/>
      <c r="F2" s="7"/>
      <c r="G2" s="7"/>
      <c r="H2" s="250"/>
    </row>
    <row r="3" spans="1:8" ht="17" thickBot="1" x14ac:dyDescent="0.25"/>
    <row r="4" spans="1:8" x14ac:dyDescent="0.2">
      <c r="A4" s="180" t="s">
        <v>2283</v>
      </c>
      <c r="B4" s="100"/>
      <c r="C4" s="100"/>
      <c r="D4" s="100"/>
      <c r="E4" s="100"/>
      <c r="F4" s="100"/>
      <c r="G4" s="100"/>
      <c r="H4" s="19"/>
    </row>
    <row r="5" spans="1:8" x14ac:dyDescent="0.2">
      <c r="A5" s="106" t="s">
        <v>2284</v>
      </c>
      <c r="H5" s="107"/>
    </row>
    <row r="6" spans="1:8" ht="17" thickBot="1" x14ac:dyDescent="0.25">
      <c r="A6" s="20" t="s">
        <v>2285</v>
      </c>
      <c r="B6" s="103"/>
      <c r="C6" s="103"/>
      <c r="D6" s="103"/>
      <c r="E6" s="103"/>
      <c r="F6" s="103"/>
      <c r="G6" s="103"/>
      <c r="H6" s="21"/>
    </row>
    <row r="7" spans="1:8" ht="17" thickBot="1" x14ac:dyDescent="0.25"/>
    <row r="8" spans="1:8" x14ac:dyDescent="0.2">
      <c r="A8" s="180" t="s">
        <v>1494</v>
      </c>
      <c r="B8" s="100"/>
      <c r="C8" s="100"/>
      <c r="D8" s="100"/>
      <c r="E8" s="100"/>
      <c r="F8" s="100"/>
      <c r="G8" s="100"/>
      <c r="H8" s="19"/>
    </row>
    <row r="9" spans="1:8" x14ac:dyDescent="0.2">
      <c r="A9" s="106" t="s">
        <v>2286</v>
      </c>
      <c r="H9" s="107"/>
    </row>
    <row r="10" spans="1:8" ht="17" thickBot="1" x14ac:dyDescent="0.25">
      <c r="A10" s="20" t="s">
        <v>2287</v>
      </c>
      <c r="B10" s="103"/>
      <c r="C10" s="388"/>
      <c r="D10" s="103"/>
      <c r="E10" s="103"/>
      <c r="F10" s="103"/>
      <c r="G10" s="103"/>
      <c r="H10" s="21"/>
    </row>
    <row r="11" spans="1:8" ht="17" thickBot="1" x14ac:dyDescent="0.25"/>
    <row r="12" spans="1:8" x14ac:dyDescent="0.2">
      <c r="A12" s="180" t="s">
        <v>1497</v>
      </c>
      <c r="B12" s="100"/>
      <c r="C12" s="100"/>
      <c r="D12" s="100"/>
      <c r="E12" s="100"/>
      <c r="F12" s="100"/>
      <c r="G12" s="100"/>
      <c r="H12" s="19"/>
    </row>
    <row r="13" spans="1:8" x14ac:dyDescent="0.2">
      <c r="A13" s="106" t="s">
        <v>1495</v>
      </c>
      <c r="H13" s="107"/>
    </row>
    <row r="14" spans="1:8" x14ac:dyDescent="0.2">
      <c r="A14" s="106" t="s">
        <v>2288</v>
      </c>
      <c r="H14" s="107"/>
    </row>
    <row r="15" spans="1:8" ht="17" thickBot="1" x14ac:dyDescent="0.25">
      <c r="A15" s="20" t="s">
        <v>1496</v>
      </c>
      <c r="B15" s="103"/>
      <c r="C15" s="103"/>
      <c r="D15" s="103"/>
      <c r="E15" s="103"/>
      <c r="F15" s="103"/>
      <c r="G15" s="103"/>
      <c r="H15" s="21"/>
    </row>
    <row r="17" spans="1:8" x14ac:dyDescent="0.2">
      <c r="A17" s="110" t="s">
        <v>5354</v>
      </c>
    </row>
    <row r="19" spans="1:8" x14ac:dyDescent="0.2">
      <c r="A19" s="1" t="s">
        <v>5355</v>
      </c>
    </row>
    <row r="20" spans="1:8" x14ac:dyDescent="0.2">
      <c r="A20" s="1" t="s">
        <v>5356</v>
      </c>
    </row>
    <row r="21" spans="1:8" ht="17" thickBot="1" x14ac:dyDescent="0.25"/>
    <row r="22" spans="1:8" x14ac:dyDescent="0.2">
      <c r="A22" s="18" t="s">
        <v>5357</v>
      </c>
      <c r="B22" s="100"/>
      <c r="C22" s="100"/>
      <c r="D22" s="100"/>
      <c r="E22" s="100"/>
      <c r="F22" s="100"/>
      <c r="G22" s="100"/>
      <c r="H22" s="19"/>
    </row>
    <row r="23" spans="1:8" x14ac:dyDescent="0.2">
      <c r="A23" s="106"/>
      <c r="B23" s="933"/>
      <c r="C23" s="933"/>
      <c r="D23" s="933"/>
      <c r="E23" s="933"/>
      <c r="F23" s="933"/>
      <c r="G23" s="933"/>
      <c r="H23" s="107"/>
    </row>
    <row r="24" spans="1:8" x14ac:dyDescent="0.2">
      <c r="A24" s="106" t="s">
        <v>5358</v>
      </c>
      <c r="B24" s="933"/>
      <c r="C24" s="933" t="s">
        <v>68</v>
      </c>
      <c r="D24" s="934" t="s">
        <v>69</v>
      </c>
      <c r="E24" s="933"/>
      <c r="F24" s="933"/>
      <c r="G24" s="933"/>
      <c r="H24" s="107"/>
    </row>
    <row r="25" spans="1:8" ht="17" thickBot="1" x14ac:dyDescent="0.25">
      <c r="A25" s="106" t="s">
        <v>5359</v>
      </c>
      <c r="B25" s="933"/>
      <c r="C25" s="933" t="s">
        <v>1487</v>
      </c>
      <c r="D25" s="934" t="s">
        <v>70</v>
      </c>
      <c r="E25" s="933"/>
      <c r="F25" s="933"/>
      <c r="G25" s="933"/>
      <c r="H25" s="107"/>
    </row>
    <row r="26" spans="1:8" ht="17" thickBot="1" x14ac:dyDescent="0.25">
      <c r="A26" s="106"/>
      <c r="B26" s="933"/>
      <c r="C26" s="933" t="s">
        <v>71</v>
      </c>
      <c r="D26" s="17" t="s">
        <v>72</v>
      </c>
      <c r="E26" s="933"/>
      <c r="F26" s="933"/>
      <c r="G26" s="933"/>
      <c r="H26" s="107"/>
    </row>
    <row r="27" spans="1:8" x14ac:dyDescent="0.2">
      <c r="A27" s="106"/>
      <c r="B27" s="933"/>
      <c r="C27" s="933"/>
      <c r="D27" s="933"/>
      <c r="E27" s="933"/>
      <c r="F27" s="933"/>
      <c r="G27" s="933"/>
      <c r="H27" s="107"/>
    </row>
    <row r="28" spans="1:8" x14ac:dyDescent="0.2">
      <c r="A28" s="106"/>
      <c r="B28" s="933"/>
      <c r="C28" s="933" t="s">
        <v>5360</v>
      </c>
      <c r="D28" s="933"/>
      <c r="E28" s="933"/>
      <c r="F28" s="933"/>
      <c r="G28" s="933"/>
      <c r="H28" s="107"/>
    </row>
    <row r="29" spans="1:8" x14ac:dyDescent="0.2">
      <c r="A29" s="106"/>
      <c r="B29" s="933"/>
      <c r="C29" s="933" t="s">
        <v>5361</v>
      </c>
      <c r="D29" s="933"/>
      <c r="E29" s="933"/>
      <c r="F29" s="933"/>
      <c r="G29" s="933"/>
      <c r="H29" s="107"/>
    </row>
    <row r="30" spans="1:8" ht="17" thickBot="1" x14ac:dyDescent="0.25">
      <c r="A30" s="20"/>
      <c r="B30" s="103"/>
      <c r="C30" s="103" t="s">
        <v>5362</v>
      </c>
      <c r="D30" s="103"/>
      <c r="E30" s="103"/>
      <c r="F30" s="103"/>
      <c r="G30" s="103"/>
      <c r="H30" s="21"/>
    </row>
    <row r="35" spans="1:8" x14ac:dyDescent="0.2">
      <c r="A35" s="7" t="s">
        <v>3456</v>
      </c>
      <c r="B35" s="3"/>
      <c r="C35" s="3"/>
      <c r="D35" s="3"/>
      <c r="E35" s="3"/>
      <c r="F35" s="3"/>
      <c r="G35" s="3"/>
      <c r="H35" s="3"/>
    </row>
    <row r="37" spans="1:8" x14ac:dyDescent="0.2">
      <c r="A37" s="1" t="s">
        <v>5339</v>
      </c>
    </row>
    <row r="38" spans="1:8" x14ac:dyDescent="0.2">
      <c r="A38" s="1" t="s">
        <v>5340</v>
      </c>
    </row>
    <row r="39" spans="1:8" x14ac:dyDescent="0.2">
      <c r="A39" s="1" t="s">
        <v>5341</v>
      </c>
    </row>
    <row r="40" spans="1:8" ht="17" thickBot="1" x14ac:dyDescent="0.25"/>
    <row r="41" spans="1:8" x14ac:dyDescent="0.2">
      <c r="B41" s="18" t="s">
        <v>630</v>
      </c>
      <c r="C41" s="100" t="s">
        <v>5342</v>
      </c>
      <c r="D41" s="100"/>
      <c r="E41" s="100"/>
      <c r="F41" s="100" t="s">
        <v>5345</v>
      </c>
      <c r="G41" s="100"/>
      <c r="H41" s="19"/>
    </row>
    <row r="42" spans="1:8" ht="17" thickBot="1" x14ac:dyDescent="0.25">
      <c r="B42" s="20" t="s">
        <v>5343</v>
      </c>
      <c r="C42" s="103" t="s">
        <v>5344</v>
      </c>
      <c r="D42" s="103"/>
      <c r="E42" s="103"/>
      <c r="F42" s="103" t="s">
        <v>5346</v>
      </c>
      <c r="G42" s="103"/>
      <c r="H42" s="21"/>
    </row>
    <row r="44" spans="1:8" ht="17" thickBot="1" x14ac:dyDescent="0.25"/>
    <row r="45" spans="1:8" x14ac:dyDescent="0.2">
      <c r="A45" s="18" t="s">
        <v>5347</v>
      </c>
      <c r="B45" s="100"/>
      <c r="C45" s="100"/>
      <c r="D45" s="100"/>
      <c r="E45" s="100"/>
      <c r="F45" s="100"/>
      <c r="G45" s="100"/>
      <c r="H45" s="19"/>
    </row>
    <row r="46" spans="1:8" x14ac:dyDescent="0.2">
      <c r="A46" s="935" t="s">
        <v>630</v>
      </c>
      <c r="B46" s="932" t="s">
        <v>3457</v>
      </c>
      <c r="C46" s="932"/>
      <c r="D46" s="932"/>
      <c r="E46" s="932"/>
      <c r="F46" s="932"/>
      <c r="G46" s="932"/>
      <c r="H46" s="152"/>
    </row>
    <row r="47" spans="1:8" x14ac:dyDescent="0.2">
      <c r="A47" s="151"/>
      <c r="B47" s="932" t="s">
        <v>3458</v>
      </c>
      <c r="C47" s="932"/>
      <c r="D47" s="932"/>
      <c r="E47" s="932"/>
      <c r="F47" s="932"/>
      <c r="G47" s="932"/>
      <c r="H47" s="152"/>
    </row>
    <row r="48" spans="1:8" x14ac:dyDescent="0.2">
      <c r="A48" s="106"/>
      <c r="B48" s="933"/>
      <c r="C48" s="933"/>
      <c r="D48" s="933"/>
      <c r="E48" s="933"/>
      <c r="F48" s="933"/>
      <c r="G48" s="933"/>
      <c r="H48" s="107"/>
    </row>
    <row r="49" spans="1:9" x14ac:dyDescent="0.2">
      <c r="A49" s="106"/>
      <c r="B49" s="933" t="s">
        <v>3459</v>
      </c>
      <c r="C49" s="933"/>
      <c r="D49" s="933"/>
      <c r="E49" s="933"/>
      <c r="F49" s="933"/>
      <c r="G49" s="933"/>
      <c r="H49" s="107"/>
    </row>
    <row r="50" spans="1:9" x14ac:dyDescent="0.2">
      <c r="A50" s="106"/>
      <c r="B50" s="933" t="s">
        <v>5349</v>
      </c>
      <c r="C50" s="933"/>
      <c r="D50" s="934" t="s">
        <v>69</v>
      </c>
      <c r="E50" s="933" t="s">
        <v>5348</v>
      </c>
      <c r="F50" s="933"/>
      <c r="G50" s="933"/>
      <c r="H50" s="107"/>
    </row>
    <row r="51" spans="1:9" x14ac:dyDescent="0.2">
      <c r="A51" s="106"/>
      <c r="B51" s="933" t="s">
        <v>116</v>
      </c>
      <c r="C51" s="933"/>
      <c r="D51" s="934" t="s">
        <v>70</v>
      </c>
      <c r="E51" s="933"/>
      <c r="F51" s="933"/>
      <c r="G51" s="933"/>
      <c r="H51" s="107"/>
    </row>
    <row r="52" spans="1:9" ht="17" thickBot="1" x14ac:dyDescent="0.25">
      <c r="A52" s="106"/>
      <c r="B52" s="933" t="s">
        <v>3460</v>
      </c>
      <c r="C52" s="933"/>
      <c r="D52" s="934" t="s">
        <v>70</v>
      </c>
      <c r="E52" s="933"/>
      <c r="F52" s="933"/>
      <c r="G52" s="933"/>
      <c r="H52" s="107"/>
    </row>
    <row r="53" spans="1:9" ht="17" thickBot="1" x14ac:dyDescent="0.25">
      <c r="A53" s="20"/>
      <c r="B53" s="103" t="s">
        <v>5350</v>
      </c>
      <c r="C53" s="103"/>
      <c r="D53" s="17" t="s">
        <v>72</v>
      </c>
      <c r="E53" s="103"/>
      <c r="F53" s="103"/>
      <c r="G53" s="103"/>
      <c r="H53" s="21"/>
    </row>
    <row r="55" spans="1:9" x14ac:dyDescent="0.2">
      <c r="A55" s="2" t="s">
        <v>3461</v>
      </c>
    </row>
    <row r="56" spans="1:9" x14ac:dyDescent="0.2">
      <c r="B56" s="1" t="s">
        <v>3462</v>
      </c>
    </row>
    <row r="57" spans="1:9" x14ac:dyDescent="0.2">
      <c r="B57" s="1" t="s">
        <v>5351</v>
      </c>
    </row>
    <row r="58" spans="1:9" x14ac:dyDescent="0.2">
      <c r="B58" s="936" t="s">
        <v>5352</v>
      </c>
    </row>
    <row r="59" spans="1:9" x14ac:dyDescent="0.2">
      <c r="C59" s="1" t="s">
        <v>3463</v>
      </c>
    </row>
    <row r="60" spans="1:9" x14ac:dyDescent="0.2">
      <c r="C60" s="1" t="s">
        <v>3464</v>
      </c>
      <c r="I60" s="1" t="s">
        <v>5363</v>
      </c>
    </row>
    <row r="61" spans="1:9" x14ac:dyDescent="0.2">
      <c r="C61" s="1" t="s">
        <v>3465</v>
      </c>
    </row>
    <row r="62" spans="1:9" x14ac:dyDescent="0.2">
      <c r="C62" s="1" t="s">
        <v>3466</v>
      </c>
    </row>
    <row r="64" spans="1:9" x14ac:dyDescent="0.2">
      <c r="C64" s="1" t="s">
        <v>3467</v>
      </c>
      <c r="H64" s="6" t="s">
        <v>69</v>
      </c>
    </row>
    <row r="65" spans="1:11" x14ac:dyDescent="0.2">
      <c r="C65" s="1" t="s">
        <v>3468</v>
      </c>
      <c r="H65" s="6" t="s">
        <v>69</v>
      </c>
      <c r="I65" s="1" t="s">
        <v>5364</v>
      </c>
    </row>
    <row r="66" spans="1:11" ht="17" thickBot="1" x14ac:dyDescent="0.25">
      <c r="C66" s="1" t="s">
        <v>3469</v>
      </c>
      <c r="H66" s="6" t="s">
        <v>70</v>
      </c>
    </row>
    <row r="67" spans="1:11" ht="17" thickBot="1" x14ac:dyDescent="0.25">
      <c r="C67" s="1" t="s">
        <v>1487</v>
      </c>
      <c r="H67" s="17" t="s">
        <v>72</v>
      </c>
    </row>
    <row r="69" spans="1:11" x14ac:dyDescent="0.2">
      <c r="A69" s="3" t="s">
        <v>3470</v>
      </c>
      <c r="B69" s="3"/>
      <c r="C69" s="3"/>
      <c r="D69" s="3"/>
      <c r="E69" s="3"/>
      <c r="F69" s="3"/>
      <c r="G69" s="3"/>
      <c r="H69" s="3"/>
    </row>
    <row r="71" spans="1:11" x14ac:dyDescent="0.2">
      <c r="A71" s="1" t="s">
        <v>3471</v>
      </c>
    </row>
    <row r="73" spans="1:11" x14ac:dyDescent="0.2">
      <c r="B73" s="25" t="s">
        <v>9</v>
      </c>
      <c r="C73" s="25"/>
      <c r="D73" s="25"/>
      <c r="E73" s="25" t="s">
        <v>107</v>
      </c>
    </row>
    <row r="74" spans="1:11" x14ac:dyDescent="0.2">
      <c r="B74" s="1" t="s">
        <v>1191</v>
      </c>
      <c r="E74" s="24">
        <v>800000</v>
      </c>
      <c r="J74" s="1" t="s">
        <v>3478</v>
      </c>
    </row>
    <row r="75" spans="1:11" x14ac:dyDescent="0.2">
      <c r="B75" s="1" t="s">
        <v>3472</v>
      </c>
      <c r="E75" s="24">
        <v>400000</v>
      </c>
      <c r="F75" s="29" t="s">
        <v>3491</v>
      </c>
      <c r="J75" s="1" t="s">
        <v>3479</v>
      </c>
    </row>
    <row r="76" spans="1:11" x14ac:dyDescent="0.2">
      <c r="B76" s="1" t="s">
        <v>100</v>
      </c>
      <c r="E76" s="24">
        <v>14000</v>
      </c>
    </row>
    <row r="77" spans="1:11" x14ac:dyDescent="0.2">
      <c r="B77" s="1" t="s">
        <v>1192</v>
      </c>
      <c r="E77" s="24">
        <v>28000</v>
      </c>
      <c r="J77" s="1" t="s">
        <v>112</v>
      </c>
    </row>
    <row r="78" spans="1:11" x14ac:dyDescent="0.2">
      <c r="B78" s="1" t="s">
        <v>3473</v>
      </c>
      <c r="E78" s="24">
        <v>32000</v>
      </c>
      <c r="J78" s="1" t="s">
        <v>81</v>
      </c>
      <c r="K78" s="6" t="s">
        <v>69</v>
      </c>
    </row>
    <row r="79" spans="1:11" x14ac:dyDescent="0.2">
      <c r="B79" s="1" t="s">
        <v>3474</v>
      </c>
      <c r="E79" s="24">
        <v>92000</v>
      </c>
      <c r="F79" s="29" t="s">
        <v>3492</v>
      </c>
      <c r="J79" s="1" t="s">
        <v>3480</v>
      </c>
      <c r="K79" s="6" t="s">
        <v>69</v>
      </c>
    </row>
    <row r="80" spans="1:11" x14ac:dyDescent="0.2">
      <c r="B80" s="1" t="s">
        <v>1199</v>
      </c>
      <c r="E80" s="24">
        <v>320000</v>
      </c>
      <c r="J80" s="1" t="s">
        <v>83</v>
      </c>
      <c r="K80" s="6" t="s">
        <v>70</v>
      </c>
    </row>
    <row r="81" spans="1:12" x14ac:dyDescent="0.2">
      <c r="B81" s="1" t="s">
        <v>2924</v>
      </c>
      <c r="E81" s="24">
        <v>52000</v>
      </c>
      <c r="F81" s="29" t="s">
        <v>3493</v>
      </c>
    </row>
    <row r="82" spans="1:12" x14ac:dyDescent="0.2">
      <c r="B82" s="1" t="s">
        <v>109</v>
      </c>
      <c r="E82" s="24">
        <v>11000</v>
      </c>
      <c r="F82" s="29" t="s">
        <v>3494</v>
      </c>
      <c r="J82" s="1" t="s">
        <v>3481</v>
      </c>
    </row>
    <row r="83" spans="1:12" x14ac:dyDescent="0.2">
      <c r="B83" s="1" t="s">
        <v>101</v>
      </c>
      <c r="E83" s="24">
        <v>33000</v>
      </c>
      <c r="J83" s="561" t="s">
        <v>3490</v>
      </c>
    </row>
    <row r="84" spans="1:12" x14ac:dyDescent="0.2">
      <c r="B84" s="1" t="s">
        <v>2373</v>
      </c>
      <c r="E84" s="24">
        <v>44000</v>
      </c>
    </row>
    <row r="85" spans="1:12" x14ac:dyDescent="0.2">
      <c r="B85" s="1" t="s">
        <v>2375</v>
      </c>
      <c r="E85" s="24">
        <v>62000</v>
      </c>
    </row>
    <row r="86" spans="1:12" x14ac:dyDescent="0.2">
      <c r="B86" s="1" t="s">
        <v>3475</v>
      </c>
      <c r="E86" s="24">
        <v>31000</v>
      </c>
    </row>
    <row r="88" spans="1:12" x14ac:dyDescent="0.2">
      <c r="A88" s="1" t="s">
        <v>3476</v>
      </c>
    </row>
    <row r="89" spans="1:12" x14ac:dyDescent="0.2">
      <c r="A89" s="1" t="s">
        <v>3477</v>
      </c>
    </row>
    <row r="91" spans="1:12" x14ac:dyDescent="0.2">
      <c r="B91" s="25" t="s">
        <v>3482</v>
      </c>
      <c r="C91" s="25"/>
      <c r="D91" s="25"/>
      <c r="F91" s="25" t="s">
        <v>1487</v>
      </c>
      <c r="G91" s="25"/>
      <c r="H91" s="25"/>
      <c r="J91" s="25" t="s">
        <v>97</v>
      </c>
      <c r="K91" s="25"/>
      <c r="L91" s="25"/>
    </row>
    <row r="92" spans="1:12" x14ac:dyDescent="0.2">
      <c r="B92" s="1" t="s">
        <v>1191</v>
      </c>
      <c r="D92" s="44">
        <f>E74</f>
        <v>800000</v>
      </c>
      <c r="F92" s="1" t="s">
        <v>3484</v>
      </c>
      <c r="H92" s="44">
        <f>E84</f>
        <v>44000</v>
      </c>
      <c r="J92" s="1" t="s">
        <v>1199</v>
      </c>
      <c r="L92" s="44">
        <f>E80</f>
        <v>320000</v>
      </c>
    </row>
    <row r="93" spans="1:12" x14ac:dyDescent="0.2">
      <c r="B93" s="1" t="s">
        <v>116</v>
      </c>
      <c r="D93" s="44">
        <f>-E78</f>
        <v>-32000</v>
      </c>
      <c r="F93" s="1" t="s">
        <v>82</v>
      </c>
      <c r="H93" s="44">
        <f>L96</f>
        <v>304000</v>
      </c>
      <c r="J93" s="1" t="s">
        <v>1200</v>
      </c>
      <c r="L93" s="44">
        <f>E86</f>
        <v>31000</v>
      </c>
    </row>
    <row r="94" spans="1:12" x14ac:dyDescent="0.2">
      <c r="B94" s="1" t="s">
        <v>1192</v>
      </c>
      <c r="D94" s="44">
        <f>-E77</f>
        <v>-28000</v>
      </c>
      <c r="F94" s="1" t="s">
        <v>3485</v>
      </c>
      <c r="H94" s="44">
        <f>-E85</f>
        <v>-62000</v>
      </c>
      <c r="J94" s="1" t="s">
        <v>100</v>
      </c>
      <c r="L94" s="44">
        <f>-E76</f>
        <v>-14000</v>
      </c>
    </row>
    <row r="95" spans="1:12" x14ac:dyDescent="0.2">
      <c r="B95" s="1" t="s">
        <v>3483</v>
      </c>
      <c r="D95" s="134">
        <f>SUM(D92:D94)</f>
        <v>740000</v>
      </c>
      <c r="F95" s="1" t="s">
        <v>3486</v>
      </c>
      <c r="H95" s="134">
        <f>SUM(H92:H94)</f>
        <v>286000</v>
      </c>
      <c r="J95" s="1" t="s">
        <v>101</v>
      </c>
      <c r="L95" s="44">
        <f>-E83</f>
        <v>-33000</v>
      </c>
    </row>
    <row r="96" spans="1:12" x14ac:dyDescent="0.2">
      <c r="J96" s="1" t="s">
        <v>3487</v>
      </c>
      <c r="L96" s="134">
        <f>SUM(L92:L95)</f>
        <v>304000</v>
      </c>
    </row>
    <row r="98" spans="1:8" x14ac:dyDescent="0.2">
      <c r="A98" s="1" t="s">
        <v>3488</v>
      </c>
    </row>
    <row r="100" spans="1:8" x14ac:dyDescent="0.2">
      <c r="B100" s="1" t="s">
        <v>3489</v>
      </c>
      <c r="D100" s="44">
        <f>D95</f>
        <v>740000</v>
      </c>
    </row>
    <row r="101" spans="1:8" x14ac:dyDescent="0.2">
      <c r="B101" s="1" t="s">
        <v>1487</v>
      </c>
      <c r="D101" s="44">
        <f>-H95</f>
        <v>-286000</v>
      </c>
    </row>
    <row r="102" spans="1:8" x14ac:dyDescent="0.2">
      <c r="B102" s="1" t="s">
        <v>71</v>
      </c>
      <c r="D102" s="134">
        <f>SUM(D100:D101)</f>
        <v>454000</v>
      </c>
    </row>
    <row r="105" spans="1:8" x14ac:dyDescent="0.2">
      <c r="A105" s="3" t="s">
        <v>3495</v>
      </c>
      <c r="B105" s="3"/>
      <c r="C105" s="3"/>
      <c r="D105" s="3"/>
      <c r="E105" s="3"/>
      <c r="F105" s="3"/>
      <c r="G105" s="3"/>
      <c r="H105" s="3"/>
    </row>
    <row r="106" spans="1:8" x14ac:dyDescent="0.2">
      <c r="A106" s="3" t="s">
        <v>3496</v>
      </c>
      <c r="B106" s="3"/>
      <c r="C106" s="3"/>
      <c r="D106" s="3"/>
      <c r="E106" s="3"/>
      <c r="F106" s="3"/>
      <c r="G106" s="3"/>
      <c r="H106" s="3"/>
    </row>
    <row r="107" spans="1:8" x14ac:dyDescent="0.2">
      <c r="A107" s="3" t="s">
        <v>3497</v>
      </c>
      <c r="B107" s="3"/>
      <c r="C107" s="3"/>
      <c r="D107" s="3"/>
      <c r="E107" s="3"/>
      <c r="F107" s="3"/>
      <c r="G107" s="3"/>
      <c r="H107" s="3"/>
    </row>
    <row r="109" spans="1:8" ht="17" thickBot="1" x14ac:dyDescent="0.25"/>
    <row r="110" spans="1:8" x14ac:dyDescent="0.2">
      <c r="A110" s="180" t="s">
        <v>1498</v>
      </c>
      <c r="B110" s="100"/>
      <c r="C110" s="100"/>
      <c r="D110" s="100"/>
      <c r="E110" s="100"/>
      <c r="F110" s="100"/>
      <c r="G110" s="100"/>
      <c r="H110" s="19"/>
    </row>
    <row r="111" spans="1:8" x14ac:dyDescent="0.2">
      <c r="A111" s="106" t="s">
        <v>2289</v>
      </c>
      <c r="H111" s="107"/>
    </row>
    <row r="112" spans="1:8" x14ac:dyDescent="0.2">
      <c r="A112" s="106" t="s">
        <v>1499</v>
      </c>
      <c r="H112" s="107"/>
    </row>
    <row r="113" spans="1:9" x14ac:dyDescent="0.2">
      <c r="A113" s="106" t="s">
        <v>1500</v>
      </c>
      <c r="H113" s="107"/>
    </row>
    <row r="114" spans="1:9" ht="17" thickBot="1" x14ac:dyDescent="0.25">
      <c r="A114" s="20" t="s">
        <v>1501</v>
      </c>
      <c r="B114" s="103"/>
      <c r="C114" s="103"/>
      <c r="D114" s="103"/>
      <c r="E114" s="103"/>
      <c r="F114" s="103"/>
      <c r="G114" s="103"/>
      <c r="H114" s="21"/>
    </row>
    <row r="116" spans="1:9" x14ac:dyDescent="0.2">
      <c r="A116" s="110" t="s">
        <v>2290</v>
      </c>
    </row>
    <row r="117" spans="1:9" x14ac:dyDescent="0.2">
      <c r="A117" s="110"/>
    </row>
    <row r="118" spans="1:9" ht="17" thickBot="1" x14ac:dyDescent="0.25">
      <c r="A118" s="2" t="s">
        <v>2297</v>
      </c>
    </row>
    <row r="119" spans="1:9" ht="17" thickBot="1" x14ac:dyDescent="0.25">
      <c r="A119" s="283" t="s">
        <v>2296</v>
      </c>
      <c r="B119" s="121"/>
      <c r="C119" s="121"/>
      <c r="D119" s="121"/>
      <c r="E119" s="121"/>
      <c r="F119" s="121"/>
      <c r="G119" s="121"/>
      <c r="H119" s="147"/>
    </row>
    <row r="121" spans="1:9" s="13" customFormat="1" x14ac:dyDescent="0.2">
      <c r="A121" s="13" t="s">
        <v>2291</v>
      </c>
      <c r="C121" s="15" t="s">
        <v>69</v>
      </c>
      <c r="D121" s="13" t="s">
        <v>1507</v>
      </c>
      <c r="I121" s="13" t="s">
        <v>2292</v>
      </c>
    </row>
    <row r="122" spans="1:9" s="13" customFormat="1" ht="17" thickBot="1" x14ac:dyDescent="0.25">
      <c r="A122" s="13" t="s">
        <v>2294</v>
      </c>
      <c r="C122" s="15" t="s">
        <v>70</v>
      </c>
      <c r="D122" s="13" t="s">
        <v>1508</v>
      </c>
      <c r="I122" s="13" t="s">
        <v>2293</v>
      </c>
    </row>
    <row r="123" spans="1:9" s="13" customFormat="1" ht="17" thickBot="1" x14ac:dyDescent="0.25">
      <c r="A123" s="13" t="s">
        <v>71</v>
      </c>
      <c r="C123" s="484" t="s">
        <v>72</v>
      </c>
      <c r="D123" s="13" t="s">
        <v>1509</v>
      </c>
    </row>
    <row r="124" spans="1:9" s="13" customFormat="1" x14ac:dyDescent="0.2">
      <c r="A124" s="13" t="s">
        <v>1185</v>
      </c>
      <c r="C124" s="15" t="s">
        <v>70</v>
      </c>
      <c r="D124" s="13" t="s">
        <v>1510</v>
      </c>
    </row>
    <row r="125" spans="1:9" s="13" customFormat="1" x14ac:dyDescent="0.2">
      <c r="A125" s="13" t="s">
        <v>1186</v>
      </c>
      <c r="C125" s="15" t="s">
        <v>70</v>
      </c>
      <c r="D125" s="13" t="s">
        <v>1511</v>
      </c>
    </row>
    <row r="126" spans="1:9" s="13" customFormat="1" ht="17" thickBot="1" x14ac:dyDescent="0.25">
      <c r="A126" s="13" t="s">
        <v>1502</v>
      </c>
      <c r="C126" s="15" t="s">
        <v>2895</v>
      </c>
      <c r="D126" s="13" t="s">
        <v>2295</v>
      </c>
    </row>
    <row r="127" spans="1:9" s="13" customFormat="1" ht="17" thickBot="1" x14ac:dyDescent="0.25">
      <c r="A127" s="13" t="s">
        <v>1503</v>
      </c>
      <c r="C127" s="484" t="s">
        <v>72</v>
      </c>
      <c r="D127" s="13" t="s">
        <v>1512</v>
      </c>
    </row>
    <row r="128" spans="1:9" s="13" customFormat="1" x14ac:dyDescent="0.2">
      <c r="A128" s="13" t="s">
        <v>1188</v>
      </c>
      <c r="C128" s="15" t="s">
        <v>70</v>
      </c>
      <c r="D128" s="13" t="s">
        <v>1513</v>
      </c>
    </row>
    <row r="129" spans="1:8" s="13" customFormat="1" ht="17" thickBot="1" x14ac:dyDescent="0.25">
      <c r="A129" s="13" t="s">
        <v>1189</v>
      </c>
      <c r="C129" s="15" t="s">
        <v>69</v>
      </c>
      <c r="D129" s="13" t="s">
        <v>1514</v>
      </c>
    </row>
    <row r="130" spans="1:8" s="13" customFormat="1" ht="17" thickBot="1" x14ac:dyDescent="0.25">
      <c r="A130" s="13" t="s">
        <v>1504</v>
      </c>
      <c r="C130" s="484" t="s">
        <v>72</v>
      </c>
      <c r="D130" s="13" t="s">
        <v>1515</v>
      </c>
    </row>
    <row r="131" spans="1:8" s="13" customFormat="1" ht="17" thickBot="1" x14ac:dyDescent="0.25">
      <c r="A131" s="13" t="s">
        <v>1505</v>
      </c>
      <c r="C131" s="15" t="s">
        <v>70</v>
      </c>
      <c r="D131" s="13" t="s">
        <v>1516</v>
      </c>
    </row>
    <row r="132" spans="1:8" s="13" customFormat="1" ht="17" thickBot="1" x14ac:dyDescent="0.25">
      <c r="A132" s="13" t="s">
        <v>1506</v>
      </c>
      <c r="C132" s="484" t="s">
        <v>72</v>
      </c>
      <c r="D132" s="13" t="s">
        <v>1517</v>
      </c>
    </row>
    <row r="133" spans="1:8" s="13" customFormat="1" x14ac:dyDescent="0.2"/>
    <row r="134" spans="1:8" x14ac:dyDescent="0.2">
      <c r="A134" s="1" t="s">
        <v>1518</v>
      </c>
    </row>
    <row r="136" spans="1:8" ht="17" thickBot="1" x14ac:dyDescent="0.25">
      <c r="A136" s="2" t="s">
        <v>2298</v>
      </c>
    </row>
    <row r="137" spans="1:8" ht="17" thickBot="1" x14ac:dyDescent="0.25">
      <c r="A137" s="283" t="s">
        <v>1522</v>
      </c>
      <c r="B137" s="121"/>
      <c r="C137" s="121"/>
      <c r="D137" s="121"/>
      <c r="E137" s="121"/>
      <c r="F137" s="121"/>
      <c r="G137" s="121"/>
      <c r="H137" s="147"/>
    </row>
    <row r="139" spans="1:8" ht="17" thickBot="1" x14ac:dyDescent="0.25">
      <c r="A139" s="389" t="s">
        <v>6</v>
      </c>
      <c r="B139" s="389"/>
      <c r="C139" s="389"/>
      <c r="D139" s="389"/>
      <c r="F139" s="390" t="s">
        <v>1042</v>
      </c>
      <c r="G139" s="390"/>
      <c r="H139" s="390"/>
    </row>
    <row r="140" spans="1:8" x14ac:dyDescent="0.2">
      <c r="A140" s="180" t="s">
        <v>2299</v>
      </c>
      <c r="B140" s="19"/>
      <c r="F140" s="272" t="s">
        <v>1142</v>
      </c>
      <c r="G140" s="105"/>
      <c r="H140" s="409"/>
    </row>
    <row r="141" spans="1:8" x14ac:dyDescent="0.2">
      <c r="A141" s="262" t="s">
        <v>133</v>
      </c>
      <c r="B141" s="264"/>
      <c r="F141" s="262" t="s">
        <v>22</v>
      </c>
      <c r="G141" s="13"/>
      <c r="H141" s="264"/>
    </row>
    <row r="142" spans="1:8" x14ac:dyDescent="0.2">
      <c r="A142" s="262" t="s">
        <v>2896</v>
      </c>
      <c r="B142" s="264"/>
      <c r="F142" s="262" t="s">
        <v>16</v>
      </c>
      <c r="G142" s="13"/>
      <c r="H142" s="264"/>
    </row>
    <row r="143" spans="1:8" x14ac:dyDescent="0.2">
      <c r="A143" s="262" t="s">
        <v>15</v>
      </c>
      <c r="B143" s="264"/>
      <c r="F143" s="262" t="s">
        <v>1478</v>
      </c>
      <c r="G143" s="13"/>
      <c r="H143" s="264"/>
    </row>
    <row r="144" spans="1:8" ht="17" thickBot="1" x14ac:dyDescent="0.25">
      <c r="A144" s="262" t="s">
        <v>1144</v>
      </c>
      <c r="B144" s="264"/>
      <c r="F144" s="486" t="s">
        <v>1162</v>
      </c>
      <c r="G144" s="266"/>
      <c r="H144" s="271"/>
    </row>
    <row r="145" spans="1:8" ht="17" thickBot="1" x14ac:dyDescent="0.25">
      <c r="A145" s="262" t="s">
        <v>63</v>
      </c>
      <c r="B145" s="264"/>
    </row>
    <row r="146" spans="1:8" ht="17" thickBot="1" x14ac:dyDescent="0.25">
      <c r="A146" s="153" t="s">
        <v>1519</v>
      </c>
      <c r="B146" s="21"/>
      <c r="F146" s="272" t="s">
        <v>1520</v>
      </c>
      <c r="G146" s="105"/>
      <c r="H146" s="409"/>
    </row>
    <row r="147" spans="1:8" ht="17" thickBot="1" x14ac:dyDescent="0.25">
      <c r="F147" s="262" t="s">
        <v>23</v>
      </c>
      <c r="G147" s="13"/>
      <c r="H147" s="264"/>
    </row>
    <row r="148" spans="1:8" x14ac:dyDescent="0.2">
      <c r="A148" s="180" t="s">
        <v>1432</v>
      </c>
      <c r="B148" s="19"/>
      <c r="F148" s="262" t="s">
        <v>1521</v>
      </c>
      <c r="G148" s="13"/>
      <c r="H148" s="264"/>
    </row>
    <row r="149" spans="1:8" ht="17" thickBot="1" x14ac:dyDescent="0.25">
      <c r="A149" s="262" t="s">
        <v>1153</v>
      </c>
      <c r="B149" s="264"/>
      <c r="F149" s="486" t="s">
        <v>1163</v>
      </c>
      <c r="G149" s="266"/>
      <c r="H149" s="271"/>
    </row>
    <row r="150" spans="1:8" ht="17" thickBot="1" x14ac:dyDescent="0.25">
      <c r="A150" s="262" t="s">
        <v>17</v>
      </c>
      <c r="B150" s="264"/>
    </row>
    <row r="151" spans="1:8" x14ac:dyDescent="0.2">
      <c r="A151" s="262" t="s">
        <v>18</v>
      </c>
      <c r="B151" s="264"/>
      <c r="F151" s="272" t="s">
        <v>124</v>
      </c>
      <c r="G151" s="105"/>
      <c r="H151" s="409"/>
    </row>
    <row r="152" spans="1:8" x14ac:dyDescent="0.2">
      <c r="A152" s="262" t="s">
        <v>1438</v>
      </c>
      <c r="B152" s="264"/>
      <c r="F152" s="262" t="s">
        <v>1601</v>
      </c>
      <c r="G152" s="13"/>
      <c r="H152" s="264"/>
    </row>
    <row r="153" spans="1:8" ht="17" thickBot="1" x14ac:dyDescent="0.25">
      <c r="A153" s="153" t="s">
        <v>1159</v>
      </c>
      <c r="B153" s="21"/>
      <c r="F153" s="262" t="s">
        <v>1600</v>
      </c>
      <c r="G153" s="13"/>
      <c r="H153" s="264"/>
    </row>
    <row r="154" spans="1:8" ht="17" thickBot="1" x14ac:dyDescent="0.25">
      <c r="F154" s="486" t="s">
        <v>1170</v>
      </c>
      <c r="G154" s="266"/>
      <c r="H154" s="271"/>
    </row>
    <row r="155" spans="1:8" ht="17" thickBot="1" x14ac:dyDescent="0.25"/>
    <row r="156" spans="1:8" ht="17" thickBot="1" x14ac:dyDescent="0.25">
      <c r="A156" s="391" t="s">
        <v>1433</v>
      </c>
      <c r="B156" s="485"/>
      <c r="D156" s="6" t="s">
        <v>999</v>
      </c>
      <c r="F156" s="390" t="s">
        <v>1435</v>
      </c>
      <c r="G156" s="392"/>
      <c r="H156" s="392"/>
    </row>
    <row r="157" spans="1:8" x14ac:dyDescent="0.2">
      <c r="D157"/>
    </row>
    <row r="158" spans="1:8" x14ac:dyDescent="0.2">
      <c r="A158" s="2" t="s">
        <v>1523</v>
      </c>
    </row>
    <row r="159" spans="1:8" x14ac:dyDescent="0.2">
      <c r="A159" s="2"/>
    </row>
    <row r="160" spans="1:8" x14ac:dyDescent="0.2">
      <c r="A160" s="7" t="s">
        <v>3520</v>
      </c>
      <c r="B160" s="3"/>
      <c r="C160" s="3"/>
      <c r="D160" s="3"/>
      <c r="E160" s="3"/>
      <c r="F160" s="3"/>
      <c r="G160" s="3"/>
      <c r="H160" s="3"/>
    </row>
    <row r="161" spans="1:11" x14ac:dyDescent="0.2">
      <c r="A161" s="2"/>
    </row>
    <row r="162" spans="1:11" x14ac:dyDescent="0.2">
      <c r="A162" s="2" t="s">
        <v>3519</v>
      </c>
    </row>
    <row r="163" spans="1:11" x14ac:dyDescent="0.2">
      <c r="A163" s="2"/>
      <c r="D163" s="25" t="s">
        <v>1000</v>
      </c>
      <c r="E163" s="25" t="s">
        <v>6</v>
      </c>
      <c r="F163" s="25" t="s">
        <v>7</v>
      </c>
      <c r="G163" s="25" t="s">
        <v>1614</v>
      </c>
      <c r="H163" s="25" t="s">
        <v>4</v>
      </c>
      <c r="I163" s="25" t="s">
        <v>5</v>
      </c>
      <c r="J163" s="8" t="s">
        <v>3521</v>
      </c>
      <c r="K163" s="8"/>
    </row>
    <row r="164" spans="1:11" x14ac:dyDescent="0.2">
      <c r="A164" s="2" t="s">
        <v>3498</v>
      </c>
      <c r="D164" s="1">
        <v>100</v>
      </c>
      <c r="E164" s="1">
        <f>D164</f>
        <v>100</v>
      </c>
    </row>
    <row r="165" spans="1:11" x14ac:dyDescent="0.2">
      <c r="A165" s="2" t="s">
        <v>3499</v>
      </c>
      <c r="D165" s="1">
        <v>150</v>
      </c>
      <c r="F165" s="1">
        <f>D165</f>
        <v>150</v>
      </c>
    </row>
    <row r="166" spans="1:11" x14ac:dyDescent="0.2">
      <c r="A166" s="2" t="s">
        <v>3500</v>
      </c>
      <c r="D166" s="1">
        <v>200</v>
      </c>
      <c r="E166" s="1">
        <f>D166</f>
        <v>200</v>
      </c>
    </row>
    <row r="167" spans="1:11" x14ac:dyDescent="0.2">
      <c r="A167" s="2" t="s">
        <v>3501</v>
      </c>
      <c r="D167" s="1">
        <v>80</v>
      </c>
      <c r="E167" s="1">
        <f>D167</f>
        <v>80</v>
      </c>
    </row>
    <row r="168" spans="1:11" x14ac:dyDescent="0.2">
      <c r="A168" s="2" t="s">
        <v>3502</v>
      </c>
      <c r="D168" s="1">
        <v>40</v>
      </c>
      <c r="F168" s="1">
        <f>D168</f>
        <v>40</v>
      </c>
    </row>
    <row r="169" spans="1:11" x14ac:dyDescent="0.2">
      <c r="A169" s="2" t="s">
        <v>1449</v>
      </c>
      <c r="D169" s="1">
        <v>13</v>
      </c>
      <c r="I169" s="1">
        <f>D169</f>
        <v>13</v>
      </c>
      <c r="J169" s="1" t="s">
        <v>1649</v>
      </c>
    </row>
    <row r="170" spans="1:11" x14ac:dyDescent="0.2">
      <c r="A170" s="2" t="s">
        <v>260</v>
      </c>
      <c r="D170" s="1">
        <v>15</v>
      </c>
      <c r="I170" s="1">
        <f>D170</f>
        <v>15</v>
      </c>
      <c r="J170" s="1" t="s">
        <v>1649</v>
      </c>
    </row>
    <row r="171" spans="1:11" x14ac:dyDescent="0.2">
      <c r="A171" s="2" t="s">
        <v>1252</v>
      </c>
      <c r="D171" s="1">
        <v>75</v>
      </c>
      <c r="I171" s="1">
        <f>D171</f>
        <v>75</v>
      </c>
      <c r="J171" s="1" t="s">
        <v>1649</v>
      </c>
    </row>
    <row r="172" spans="1:11" x14ac:dyDescent="0.2">
      <c r="A172" s="2" t="s">
        <v>3503</v>
      </c>
      <c r="D172" s="1">
        <v>33</v>
      </c>
      <c r="I172" s="1">
        <f>D172</f>
        <v>33</v>
      </c>
      <c r="J172" s="1" t="s">
        <v>1550</v>
      </c>
    </row>
    <row r="173" spans="1:11" x14ac:dyDescent="0.2">
      <c r="A173" s="2" t="s">
        <v>245</v>
      </c>
      <c r="D173" s="1">
        <v>300</v>
      </c>
      <c r="E173" s="1">
        <f>D173</f>
        <v>300</v>
      </c>
    </row>
    <row r="174" spans="1:11" x14ac:dyDescent="0.2">
      <c r="A174" s="2" t="s">
        <v>3504</v>
      </c>
      <c r="D174" s="1">
        <v>20</v>
      </c>
      <c r="E174" s="23">
        <f>-D174</f>
        <v>-20</v>
      </c>
    </row>
    <row r="175" spans="1:11" x14ac:dyDescent="0.2">
      <c r="A175" s="2" t="s">
        <v>3505</v>
      </c>
      <c r="D175" s="1">
        <v>500</v>
      </c>
      <c r="E175" s="1">
        <f>D175</f>
        <v>500</v>
      </c>
    </row>
    <row r="176" spans="1:11" x14ac:dyDescent="0.2">
      <c r="A176" s="2" t="s">
        <v>3506</v>
      </c>
      <c r="D176" s="1">
        <v>40</v>
      </c>
      <c r="E176" s="23">
        <f>-D176</f>
        <v>-40</v>
      </c>
    </row>
    <row r="177" spans="1:10" x14ac:dyDescent="0.2">
      <c r="A177" s="2" t="s">
        <v>15</v>
      </c>
      <c r="D177" s="1">
        <v>120</v>
      </c>
      <c r="E177" s="1">
        <f>D177</f>
        <v>120</v>
      </c>
    </row>
    <row r="178" spans="1:10" x14ac:dyDescent="0.2">
      <c r="A178" s="2" t="s">
        <v>14</v>
      </c>
      <c r="D178" s="1">
        <v>280</v>
      </c>
      <c r="E178" s="1">
        <f>D178</f>
        <v>280</v>
      </c>
    </row>
    <row r="179" spans="1:10" x14ac:dyDescent="0.2">
      <c r="A179" s="2" t="s">
        <v>16</v>
      </c>
      <c r="D179" s="1">
        <v>50</v>
      </c>
      <c r="F179" s="1">
        <f>D179</f>
        <v>50</v>
      </c>
    </row>
    <row r="180" spans="1:10" x14ac:dyDescent="0.2">
      <c r="A180" s="2" t="s">
        <v>1478</v>
      </c>
      <c r="D180" s="1">
        <v>20</v>
      </c>
      <c r="F180" s="1">
        <f>D180</f>
        <v>20</v>
      </c>
    </row>
    <row r="181" spans="1:10" x14ac:dyDescent="0.2">
      <c r="A181" s="2" t="s">
        <v>1191</v>
      </c>
      <c r="D181" s="1">
        <v>400</v>
      </c>
      <c r="H181" s="1">
        <f>D181</f>
        <v>400</v>
      </c>
      <c r="J181" s="1" t="s">
        <v>68</v>
      </c>
    </row>
    <row r="182" spans="1:10" x14ac:dyDescent="0.2">
      <c r="A182" s="2" t="s">
        <v>116</v>
      </c>
      <c r="D182" s="1">
        <v>20</v>
      </c>
      <c r="H182" s="23">
        <f>-D182</f>
        <v>-20</v>
      </c>
      <c r="J182" s="1" t="s">
        <v>68</v>
      </c>
    </row>
    <row r="183" spans="1:10" x14ac:dyDescent="0.2">
      <c r="A183" s="2" t="s">
        <v>3522</v>
      </c>
      <c r="D183" s="1">
        <v>7</v>
      </c>
      <c r="H183" s="23">
        <f>-D183</f>
        <v>-7</v>
      </c>
      <c r="J183" s="1" t="s">
        <v>68</v>
      </c>
    </row>
    <row r="184" spans="1:10" x14ac:dyDescent="0.2">
      <c r="A184" s="2" t="s">
        <v>3510</v>
      </c>
      <c r="D184" s="1">
        <v>9</v>
      </c>
      <c r="I184" s="1">
        <f>D184</f>
        <v>9</v>
      </c>
      <c r="J184" s="1" t="s">
        <v>1188</v>
      </c>
    </row>
    <row r="185" spans="1:10" x14ac:dyDescent="0.2">
      <c r="A185" s="2" t="s">
        <v>3507</v>
      </c>
      <c r="D185" s="1">
        <v>20</v>
      </c>
      <c r="I185" s="1">
        <f>D185</f>
        <v>20</v>
      </c>
      <c r="J185" s="1" t="s">
        <v>95</v>
      </c>
    </row>
    <row r="186" spans="1:10" x14ac:dyDescent="0.2">
      <c r="A186" s="2" t="s">
        <v>1199</v>
      </c>
      <c r="D186" s="1">
        <v>100</v>
      </c>
      <c r="I186" s="1">
        <f>D186</f>
        <v>100</v>
      </c>
      <c r="J186" s="1" t="s">
        <v>95</v>
      </c>
    </row>
    <row r="187" spans="1:10" x14ac:dyDescent="0.2">
      <c r="A187" s="2" t="s">
        <v>3511</v>
      </c>
      <c r="D187" s="1">
        <v>31</v>
      </c>
      <c r="H187" s="1">
        <f>D187</f>
        <v>31</v>
      </c>
      <c r="J187" s="1" t="s">
        <v>1189</v>
      </c>
    </row>
    <row r="188" spans="1:10" x14ac:dyDescent="0.2">
      <c r="A188" s="2" t="s">
        <v>1639</v>
      </c>
      <c r="D188" s="1">
        <v>8</v>
      </c>
      <c r="I188" s="23">
        <f>-D188</f>
        <v>-8</v>
      </c>
      <c r="J188" s="1" t="s">
        <v>95</v>
      </c>
    </row>
    <row r="189" spans="1:10" x14ac:dyDescent="0.2">
      <c r="A189" s="2" t="s">
        <v>3508</v>
      </c>
      <c r="D189" s="1">
        <v>11</v>
      </c>
      <c r="I189" s="1">
        <f>D189</f>
        <v>11</v>
      </c>
      <c r="J189" s="1" t="s">
        <v>1649</v>
      </c>
    </row>
    <row r="190" spans="1:10" x14ac:dyDescent="0.2">
      <c r="A190" s="2" t="s">
        <v>3509</v>
      </c>
      <c r="D190" s="1">
        <v>23</v>
      </c>
      <c r="I190" s="1">
        <f>D190</f>
        <v>23</v>
      </c>
      <c r="J190" s="1" t="s">
        <v>1550</v>
      </c>
    </row>
    <row r="191" spans="1:10" x14ac:dyDescent="0.2">
      <c r="A191" s="2" t="s">
        <v>108</v>
      </c>
      <c r="D191" s="1">
        <v>12</v>
      </c>
      <c r="I191" s="1">
        <f>D191</f>
        <v>12</v>
      </c>
      <c r="J191" s="1" t="s">
        <v>1550</v>
      </c>
    </row>
    <row r="192" spans="1:10" x14ac:dyDescent="0.2">
      <c r="A192" s="2" t="s">
        <v>1222</v>
      </c>
      <c r="D192" s="1">
        <v>19</v>
      </c>
      <c r="H192" s="1">
        <f>D192</f>
        <v>19</v>
      </c>
      <c r="J192" s="1" t="s">
        <v>1437</v>
      </c>
    </row>
    <row r="193" spans="1:10" x14ac:dyDescent="0.2">
      <c r="A193" s="2" t="s">
        <v>3512</v>
      </c>
      <c r="D193" s="1">
        <v>35</v>
      </c>
      <c r="E193" s="1">
        <f>D193</f>
        <v>35</v>
      </c>
    </row>
    <row r="194" spans="1:10" x14ac:dyDescent="0.2">
      <c r="A194" s="2" t="s">
        <v>3513</v>
      </c>
      <c r="D194" s="1">
        <v>35</v>
      </c>
      <c r="I194" s="23">
        <f>-D194</f>
        <v>-35</v>
      </c>
      <c r="J194" s="1" t="s">
        <v>95</v>
      </c>
    </row>
    <row r="195" spans="1:10" x14ac:dyDescent="0.2">
      <c r="A195" s="2" t="s">
        <v>22</v>
      </c>
      <c r="D195" s="1">
        <v>19</v>
      </c>
      <c r="F195" s="1">
        <f>D195</f>
        <v>19</v>
      </c>
    </row>
    <row r="196" spans="1:10" x14ac:dyDescent="0.2">
      <c r="A196" s="2" t="s">
        <v>23</v>
      </c>
      <c r="D196" s="1">
        <v>25</v>
      </c>
      <c r="F196" s="1">
        <f>D196</f>
        <v>25</v>
      </c>
    </row>
    <row r="197" spans="1:10" x14ac:dyDescent="0.2">
      <c r="A197" s="2" t="s">
        <v>1453</v>
      </c>
      <c r="D197" s="1">
        <v>4</v>
      </c>
      <c r="I197" s="1">
        <f>D197</f>
        <v>4</v>
      </c>
      <c r="J197" s="1" t="s">
        <v>1188</v>
      </c>
    </row>
    <row r="198" spans="1:10" x14ac:dyDescent="0.2">
      <c r="A198" s="2" t="s">
        <v>3514</v>
      </c>
      <c r="D198" s="1">
        <v>20</v>
      </c>
      <c r="E198" s="1">
        <f>D198</f>
        <v>20</v>
      </c>
    </row>
    <row r="199" spans="1:10" x14ac:dyDescent="0.2">
      <c r="A199" s="2" t="s">
        <v>3515</v>
      </c>
      <c r="D199" s="1">
        <v>300</v>
      </c>
      <c r="E199" s="1">
        <f>D199</f>
        <v>300</v>
      </c>
    </row>
    <row r="200" spans="1:10" x14ac:dyDescent="0.2">
      <c r="A200" s="2" t="s">
        <v>3516</v>
      </c>
      <c r="D200" s="1">
        <v>380</v>
      </c>
      <c r="E200" s="1">
        <f>D200</f>
        <v>380</v>
      </c>
    </row>
    <row r="201" spans="1:10" x14ac:dyDescent="0.2">
      <c r="A201" s="2" t="s">
        <v>19</v>
      </c>
      <c r="D201" s="1">
        <v>90</v>
      </c>
      <c r="E201" s="1">
        <f>D201</f>
        <v>90</v>
      </c>
    </row>
    <row r="202" spans="1:10" x14ac:dyDescent="0.2">
      <c r="A202" s="2" t="s">
        <v>20</v>
      </c>
      <c r="D202" s="1">
        <v>80</v>
      </c>
      <c r="E202" s="1">
        <f>D202</f>
        <v>80</v>
      </c>
    </row>
    <row r="203" spans="1:10" x14ac:dyDescent="0.2">
      <c r="A203" s="2" t="s">
        <v>258</v>
      </c>
      <c r="D203" s="1">
        <v>17</v>
      </c>
      <c r="I203" s="1">
        <f>D203</f>
        <v>17</v>
      </c>
      <c r="J203" s="1" t="s">
        <v>1188</v>
      </c>
    </row>
    <row r="204" spans="1:10" x14ac:dyDescent="0.2">
      <c r="A204" s="2" t="s">
        <v>1250</v>
      </c>
      <c r="D204" s="1">
        <v>14</v>
      </c>
      <c r="H204" s="1">
        <f>D204</f>
        <v>14</v>
      </c>
      <c r="J204" s="1" t="s">
        <v>1189</v>
      </c>
    </row>
    <row r="205" spans="1:10" x14ac:dyDescent="0.2">
      <c r="A205" s="2" t="s">
        <v>24</v>
      </c>
      <c r="D205" s="1">
        <v>100</v>
      </c>
      <c r="G205" s="1">
        <f>D205</f>
        <v>100</v>
      </c>
    </row>
    <row r="206" spans="1:10" x14ac:dyDescent="0.2">
      <c r="A206" s="2" t="s">
        <v>3517</v>
      </c>
      <c r="D206" s="1">
        <v>20</v>
      </c>
      <c r="G206" s="1">
        <f>D206</f>
        <v>20</v>
      </c>
    </row>
    <row r="207" spans="1:10" x14ac:dyDescent="0.2">
      <c r="A207" s="2" t="s">
        <v>3518</v>
      </c>
      <c r="D207" s="1">
        <v>10</v>
      </c>
      <c r="G207" s="1">
        <f>D207</f>
        <v>10</v>
      </c>
    </row>
    <row r="208" spans="1:10" x14ac:dyDescent="0.2">
      <c r="A208" s="2" t="s">
        <v>955</v>
      </c>
      <c r="D208" s="87" t="s">
        <v>26</v>
      </c>
      <c r="G208" s="87" t="str">
        <f>D208</f>
        <v>?</v>
      </c>
    </row>
    <row r="209" spans="1:14" x14ac:dyDescent="0.2">
      <c r="A209" s="2" t="s">
        <v>272</v>
      </c>
      <c r="E209" s="562">
        <f>SUM(E164:E208)</f>
        <v>2425</v>
      </c>
      <c r="F209" s="562">
        <f>SUM(F164:F208)</f>
        <v>304</v>
      </c>
      <c r="G209" s="562" t="s">
        <v>3523</v>
      </c>
      <c r="H209" s="562">
        <f>SUM(H164:H208)</f>
        <v>437</v>
      </c>
      <c r="I209" s="562">
        <f>SUM(I164:I208)</f>
        <v>289</v>
      </c>
    </row>
    <row r="210" spans="1:14" x14ac:dyDescent="0.2">
      <c r="A210" s="2"/>
      <c r="E210" s="6" t="s">
        <v>6</v>
      </c>
      <c r="F210" s="6" t="s">
        <v>7</v>
      </c>
      <c r="G210" s="6" t="s">
        <v>1614</v>
      </c>
      <c r="H210" s="6" t="s">
        <v>4</v>
      </c>
      <c r="I210" s="6" t="s">
        <v>5</v>
      </c>
    </row>
    <row r="211" spans="1:14" x14ac:dyDescent="0.2">
      <c r="A211" s="2"/>
      <c r="E211" s="6">
        <v>31.12</v>
      </c>
      <c r="F211" s="6">
        <v>31.12</v>
      </c>
      <c r="G211" s="6">
        <v>1.1000000000000001</v>
      </c>
      <c r="H211" s="6">
        <v>31.12</v>
      </c>
      <c r="I211" s="6">
        <v>31.12</v>
      </c>
    </row>
    <row r="212" spans="1:14" x14ac:dyDescent="0.2">
      <c r="A212" s="2"/>
    </row>
    <row r="213" spans="1:14" ht="17" thickBot="1" x14ac:dyDescent="0.25">
      <c r="A213" s="2"/>
      <c r="E213" s="1" t="s">
        <v>3524</v>
      </c>
    </row>
    <row r="214" spans="1:14" x14ac:dyDescent="0.2">
      <c r="A214" s="2"/>
      <c r="E214" s="582" t="s">
        <v>6</v>
      </c>
      <c r="F214" s="179" t="s">
        <v>72</v>
      </c>
      <c r="G214" s="179" t="s">
        <v>7</v>
      </c>
      <c r="H214" s="179" t="s">
        <v>69</v>
      </c>
      <c r="I214" s="149" t="s">
        <v>3525</v>
      </c>
      <c r="K214" s="1" t="s">
        <v>1045</v>
      </c>
      <c r="L214" s="6" t="s">
        <v>3523</v>
      </c>
      <c r="M214" s="1" t="s">
        <v>5365</v>
      </c>
    </row>
    <row r="215" spans="1:14" ht="17" thickBot="1" x14ac:dyDescent="0.25">
      <c r="A215" s="2"/>
      <c r="E215" s="524">
        <v>31.12</v>
      </c>
      <c r="F215" s="158"/>
      <c r="G215" s="158">
        <v>31.12</v>
      </c>
      <c r="H215" s="158"/>
      <c r="I215" s="413">
        <v>31.12</v>
      </c>
      <c r="K215" s="1" t="s">
        <v>2759</v>
      </c>
      <c r="L215" s="6">
        <f>H209-I209</f>
        <v>148</v>
      </c>
      <c r="M215" s="848" t="s">
        <v>5366</v>
      </c>
      <c r="N215" s="848"/>
    </row>
    <row r="216" spans="1:14" ht="17" thickBot="1" x14ac:dyDescent="0.25">
      <c r="A216" s="2"/>
      <c r="K216" s="1" t="s">
        <v>3526</v>
      </c>
      <c r="L216" s="17" t="s">
        <v>5353</v>
      </c>
    </row>
    <row r="217" spans="1:14" ht="17" thickBot="1" x14ac:dyDescent="0.25">
      <c r="A217" s="2"/>
      <c r="N217" s="6">
        <v>289</v>
      </c>
    </row>
    <row r="218" spans="1:14" ht="17" thickBot="1" x14ac:dyDescent="0.25">
      <c r="A218" s="2"/>
      <c r="E218" s="937">
        <f>E209</f>
        <v>2425</v>
      </c>
      <c r="F218" s="165" t="s">
        <v>72</v>
      </c>
      <c r="G218" s="937">
        <f>F209</f>
        <v>304</v>
      </c>
      <c r="H218" s="165" t="s">
        <v>69</v>
      </c>
      <c r="I218" s="937" t="s">
        <v>5353</v>
      </c>
    </row>
    <row r="219" spans="1:14" x14ac:dyDescent="0.2">
      <c r="A219" s="2"/>
      <c r="M219" s="6">
        <v>437</v>
      </c>
    </row>
    <row r="220" spans="1:14" x14ac:dyDescent="0.2">
      <c r="A220" s="2"/>
      <c r="E220" s="1" t="s">
        <v>3527</v>
      </c>
    </row>
    <row r="221" spans="1:14" x14ac:dyDescent="0.2">
      <c r="A221" s="2"/>
      <c r="G221" s="6">
        <f>2425-304-278</f>
        <v>1843</v>
      </c>
      <c r="H221" s="6" t="s">
        <v>1051</v>
      </c>
    </row>
    <row r="222" spans="1:14" x14ac:dyDescent="0.2">
      <c r="A222" s="2"/>
    </row>
    <row r="223" spans="1:14" x14ac:dyDescent="0.2">
      <c r="A223" s="2" t="s">
        <v>3531</v>
      </c>
      <c r="H223" s="110" t="s">
        <v>3533</v>
      </c>
    </row>
    <row r="224" spans="1:14" x14ac:dyDescent="0.2">
      <c r="A224" s="2"/>
    </row>
    <row r="225" spans="1:5" x14ac:dyDescent="0.2">
      <c r="A225" s="2"/>
      <c r="B225" s="1" t="s">
        <v>68</v>
      </c>
      <c r="D225" s="23">
        <f>H181+H182+H183</f>
        <v>373</v>
      </c>
    </row>
    <row r="226" spans="1:5" x14ac:dyDescent="0.2">
      <c r="A226" s="2"/>
      <c r="B226" s="1" t="s">
        <v>1487</v>
      </c>
      <c r="D226" s="23">
        <f>-(I185+I186+I188+I194)</f>
        <v>-77</v>
      </c>
    </row>
    <row r="227" spans="1:5" x14ac:dyDescent="0.2">
      <c r="A227" s="2"/>
      <c r="B227" s="1" t="s">
        <v>71</v>
      </c>
      <c r="D227" s="253">
        <f>D225+D226</f>
        <v>296</v>
      </c>
    </row>
    <row r="228" spans="1:5" x14ac:dyDescent="0.2">
      <c r="A228" s="2"/>
      <c r="B228" s="1" t="s">
        <v>1185</v>
      </c>
      <c r="D228" s="23">
        <f>-(I172+I190+I191)</f>
        <v>-68</v>
      </c>
    </row>
    <row r="229" spans="1:5" x14ac:dyDescent="0.2">
      <c r="A229" s="2"/>
      <c r="B229" s="1" t="s">
        <v>1186</v>
      </c>
      <c r="D229" s="23">
        <f>-(I169+I170+I171+I189)</f>
        <v>-114</v>
      </c>
    </row>
    <row r="230" spans="1:5" x14ac:dyDescent="0.2">
      <c r="A230" s="2"/>
      <c r="B230" s="1" t="s">
        <v>1437</v>
      </c>
      <c r="D230" s="23">
        <f>H192</f>
        <v>19</v>
      </c>
    </row>
    <row r="231" spans="1:5" x14ac:dyDescent="0.2">
      <c r="A231" s="2"/>
      <c r="B231" s="1" t="s">
        <v>2187</v>
      </c>
      <c r="D231" s="23">
        <v>0</v>
      </c>
      <c r="E231" s="1" t="s">
        <v>3528</v>
      </c>
    </row>
    <row r="232" spans="1:5" x14ac:dyDescent="0.2">
      <c r="A232" s="2"/>
      <c r="B232" s="1" t="s">
        <v>1503</v>
      </c>
      <c r="D232" s="253">
        <f>SUM(D227:D231)</f>
        <v>133</v>
      </c>
      <c r="E232" s="1" t="s">
        <v>3529</v>
      </c>
    </row>
    <row r="233" spans="1:5" x14ac:dyDescent="0.2">
      <c r="A233" s="2"/>
      <c r="B233" s="1" t="s">
        <v>1188</v>
      </c>
      <c r="D233" s="23">
        <f>-(I184+I197+I203)</f>
        <v>-30</v>
      </c>
    </row>
    <row r="234" spans="1:5" x14ac:dyDescent="0.2">
      <c r="A234" s="2"/>
      <c r="B234" s="1" t="s">
        <v>1189</v>
      </c>
      <c r="D234" s="23">
        <f>(H204+H187)</f>
        <v>45</v>
      </c>
    </row>
    <row r="235" spans="1:5" x14ac:dyDescent="0.2">
      <c r="A235" s="2"/>
      <c r="B235" s="1" t="s">
        <v>1504</v>
      </c>
      <c r="D235" s="253">
        <f>D232+D233+D234</f>
        <v>148</v>
      </c>
      <c r="E235" s="1" t="s">
        <v>1515</v>
      </c>
    </row>
    <row r="236" spans="1:5" x14ac:dyDescent="0.2">
      <c r="A236" s="2"/>
      <c r="B236" s="1" t="s">
        <v>1505</v>
      </c>
      <c r="D236" s="23">
        <v>0</v>
      </c>
    </row>
    <row r="237" spans="1:5" x14ac:dyDescent="0.2">
      <c r="A237" s="2"/>
      <c r="B237" s="1" t="s">
        <v>1506</v>
      </c>
      <c r="D237" s="253">
        <f>D235-D236</f>
        <v>148</v>
      </c>
      <c r="E237" s="1" t="s">
        <v>3530</v>
      </c>
    </row>
    <row r="238" spans="1:5" x14ac:dyDescent="0.2">
      <c r="A238" s="2"/>
    </row>
    <row r="239" spans="1:5" x14ac:dyDescent="0.2">
      <c r="A239" s="2" t="s">
        <v>3534</v>
      </c>
    </row>
    <row r="240" spans="1:5" x14ac:dyDescent="0.2">
      <c r="A240" s="2"/>
    </row>
    <row r="241" spans="1:10" x14ac:dyDescent="0.2">
      <c r="A241" s="1" t="s">
        <v>3535</v>
      </c>
    </row>
    <row r="242" spans="1:10" x14ac:dyDescent="0.2">
      <c r="A242" s="2"/>
    </row>
    <row r="243" spans="1:10" x14ac:dyDescent="0.2">
      <c r="A243" s="2"/>
      <c r="B243" s="1" t="s">
        <v>6</v>
      </c>
      <c r="F243" s="1" t="s">
        <v>3536</v>
      </c>
      <c r="J243" s="1" t="s">
        <v>1793</v>
      </c>
    </row>
    <row r="244" spans="1:10" x14ac:dyDescent="0.2">
      <c r="A244" s="2"/>
      <c r="J244" s="1" t="s">
        <v>3537</v>
      </c>
    </row>
    <row r="245" spans="1:10" x14ac:dyDescent="0.2">
      <c r="A245" s="2"/>
      <c r="B245" s="1" t="s">
        <v>1431</v>
      </c>
      <c r="F245" s="1" t="s">
        <v>1434</v>
      </c>
      <c r="J245" s="1" t="s">
        <v>3538</v>
      </c>
    </row>
    <row r="246" spans="1:10" x14ac:dyDescent="0.2">
      <c r="A246" s="2"/>
      <c r="B246" s="1" t="s">
        <v>133</v>
      </c>
      <c r="D246" s="23">
        <f>E166+E167</f>
        <v>280</v>
      </c>
      <c r="F246" s="1" t="s">
        <v>3546</v>
      </c>
      <c r="H246" s="23">
        <f>F168+F195</f>
        <v>59</v>
      </c>
      <c r="J246" s="1" t="s">
        <v>3539</v>
      </c>
    </row>
    <row r="247" spans="1:10" x14ac:dyDescent="0.2">
      <c r="A247" s="2"/>
      <c r="B247" s="1" t="s">
        <v>14</v>
      </c>
      <c r="D247" s="23">
        <f>E164+E178</f>
        <v>380</v>
      </c>
      <c r="F247" s="1" t="s">
        <v>16</v>
      </c>
      <c r="H247" s="23">
        <f>F165+F179</f>
        <v>200</v>
      </c>
      <c r="J247" s="1" t="s">
        <v>3540</v>
      </c>
    </row>
    <row r="248" spans="1:10" x14ac:dyDescent="0.2">
      <c r="A248" s="2"/>
      <c r="B248" s="1" t="s">
        <v>15</v>
      </c>
      <c r="D248" s="23">
        <f>E177</f>
        <v>120</v>
      </c>
      <c r="F248" s="1" t="s">
        <v>1478</v>
      </c>
      <c r="H248" s="23">
        <f>F180</f>
        <v>20</v>
      </c>
      <c r="J248" s="1" t="s">
        <v>3541</v>
      </c>
    </row>
    <row r="249" spans="1:10" x14ac:dyDescent="0.2">
      <c r="A249" s="2"/>
      <c r="B249" s="1" t="s">
        <v>1144</v>
      </c>
      <c r="D249" s="23">
        <f>E198+E200</f>
        <v>400</v>
      </c>
      <c r="F249" s="1" t="s">
        <v>1162</v>
      </c>
      <c r="H249" s="253">
        <f>SUM(H246:H248)</f>
        <v>279</v>
      </c>
      <c r="J249" s="1" t="s">
        <v>3542</v>
      </c>
    </row>
    <row r="250" spans="1:10" x14ac:dyDescent="0.2">
      <c r="A250" s="2"/>
      <c r="B250" s="1" t="s">
        <v>63</v>
      </c>
      <c r="D250" s="23">
        <f>E193</f>
        <v>35</v>
      </c>
      <c r="H250" s="23"/>
      <c r="J250" s="1" t="s">
        <v>3543</v>
      </c>
    </row>
    <row r="251" spans="1:10" x14ac:dyDescent="0.2">
      <c r="A251" s="2"/>
      <c r="B251" s="1" t="s">
        <v>1519</v>
      </c>
      <c r="D251" s="253">
        <f>SUM(D246:D250)</f>
        <v>1215</v>
      </c>
      <c r="H251" s="23"/>
      <c r="J251" s="1" t="s">
        <v>3544</v>
      </c>
    </row>
    <row r="252" spans="1:10" x14ac:dyDescent="0.2">
      <c r="A252" s="2"/>
      <c r="D252" s="23"/>
      <c r="H252" s="23"/>
      <c r="J252" s="1" t="s">
        <v>3545</v>
      </c>
    </row>
    <row r="253" spans="1:10" x14ac:dyDescent="0.2">
      <c r="A253" s="2"/>
      <c r="B253" s="1" t="s">
        <v>1432</v>
      </c>
      <c r="D253" s="23"/>
      <c r="F253" s="1" t="s">
        <v>1520</v>
      </c>
      <c r="H253" s="23"/>
      <c r="J253" s="1" t="s">
        <v>3547</v>
      </c>
    </row>
    <row r="254" spans="1:10" x14ac:dyDescent="0.2">
      <c r="A254" s="2"/>
      <c r="B254" s="1" t="s">
        <v>17</v>
      </c>
      <c r="D254" s="23">
        <f>E173+E174+E175+E176</f>
        <v>740</v>
      </c>
      <c r="F254" s="1" t="s">
        <v>3550</v>
      </c>
      <c r="H254" s="23">
        <f>F196</f>
        <v>25</v>
      </c>
      <c r="J254" s="1" t="s">
        <v>3548</v>
      </c>
    </row>
    <row r="255" spans="1:10" x14ac:dyDescent="0.2">
      <c r="A255" s="2"/>
      <c r="B255" s="1" t="s">
        <v>1153</v>
      </c>
      <c r="D255" s="23">
        <f>E199</f>
        <v>300</v>
      </c>
      <c r="F255" s="1" t="s">
        <v>1163</v>
      </c>
      <c r="H255" s="23">
        <f>H254</f>
        <v>25</v>
      </c>
      <c r="J255" s="1" t="s">
        <v>3549</v>
      </c>
    </row>
    <row r="256" spans="1:10" x14ac:dyDescent="0.2">
      <c r="A256" s="2"/>
      <c r="B256" s="1" t="s">
        <v>1438</v>
      </c>
      <c r="D256" s="23">
        <f>E201+E202</f>
        <v>170</v>
      </c>
      <c r="H256" s="23"/>
      <c r="J256" s="1" t="s">
        <v>3553</v>
      </c>
    </row>
    <row r="257" spans="1:10" x14ac:dyDescent="0.2">
      <c r="A257" s="2"/>
      <c r="B257" s="1" t="s">
        <v>1159</v>
      </c>
      <c r="D257" s="253">
        <f>SUM(D254:D256)</f>
        <v>1210</v>
      </c>
      <c r="F257" s="1" t="s">
        <v>2273</v>
      </c>
      <c r="H257" s="253">
        <f>H249+H255</f>
        <v>304</v>
      </c>
      <c r="J257" s="1" t="s">
        <v>3551</v>
      </c>
    </row>
    <row r="258" spans="1:10" x14ac:dyDescent="0.2">
      <c r="A258" s="2"/>
      <c r="D258" s="23"/>
      <c r="H258" s="23"/>
      <c r="J258" s="1" t="s">
        <v>3552</v>
      </c>
    </row>
    <row r="259" spans="1:10" x14ac:dyDescent="0.2">
      <c r="A259" s="2"/>
      <c r="D259" s="23"/>
      <c r="F259" s="1" t="s">
        <v>124</v>
      </c>
      <c r="H259" s="23"/>
      <c r="J259" s="1" t="s">
        <v>3554</v>
      </c>
    </row>
    <row r="260" spans="1:10" x14ac:dyDescent="0.2">
      <c r="A260" s="2"/>
      <c r="D260" s="23"/>
      <c r="F260" s="1" t="s">
        <v>24</v>
      </c>
      <c r="H260" s="23">
        <f>G205</f>
        <v>100</v>
      </c>
      <c r="J260" s="1" t="s">
        <v>3555</v>
      </c>
    </row>
    <row r="261" spans="1:10" x14ac:dyDescent="0.2">
      <c r="A261" s="2"/>
      <c r="D261" s="23"/>
      <c r="F261" s="1" t="s">
        <v>3517</v>
      </c>
      <c r="H261" s="23">
        <f t="shared" ref="H261:H262" si="0">G206</f>
        <v>20</v>
      </c>
      <c r="J261" s="1" t="s">
        <v>3556</v>
      </c>
    </row>
    <row r="262" spans="1:10" x14ac:dyDescent="0.2">
      <c r="A262" s="2"/>
      <c r="D262" s="23"/>
      <c r="F262" s="1" t="s">
        <v>3518</v>
      </c>
      <c r="H262" s="23">
        <f t="shared" si="0"/>
        <v>10</v>
      </c>
    </row>
    <row r="263" spans="1:10" x14ac:dyDescent="0.2">
      <c r="A263" s="2"/>
      <c r="D263" s="23"/>
      <c r="F263" s="1" t="s">
        <v>1164</v>
      </c>
      <c r="H263" s="23">
        <f>G221+D237</f>
        <v>1991</v>
      </c>
    </row>
    <row r="264" spans="1:10" x14ac:dyDescent="0.2">
      <c r="A264" s="2"/>
      <c r="D264" s="23"/>
      <c r="F264" s="1" t="s">
        <v>1170</v>
      </c>
      <c r="H264" s="253">
        <f>SUM(H260:H263)</f>
        <v>2121</v>
      </c>
    </row>
    <row r="265" spans="1:10" x14ac:dyDescent="0.2">
      <c r="A265" s="2"/>
      <c r="D265" s="23"/>
      <c r="H265" s="23"/>
    </row>
    <row r="266" spans="1:10" x14ac:dyDescent="0.2">
      <c r="A266" s="2"/>
      <c r="B266" s="1" t="s">
        <v>1433</v>
      </c>
      <c r="D266" s="253">
        <f>D251+D257</f>
        <v>2425</v>
      </c>
      <c r="F266" s="1" t="s">
        <v>1435</v>
      </c>
      <c r="H266" s="253">
        <f>H257+H264</f>
        <v>2425</v>
      </c>
    </row>
    <row r="267" spans="1:10" x14ac:dyDescent="0.2">
      <c r="A267" s="2"/>
    </row>
    <row r="268" spans="1:10" x14ac:dyDescent="0.2">
      <c r="A268" s="2"/>
    </row>
    <row r="269" spans="1:10" x14ac:dyDescent="0.2">
      <c r="A269" s="2"/>
    </row>
    <row r="270" spans="1:10" x14ac:dyDescent="0.2">
      <c r="A270" s="2"/>
    </row>
    <row r="271" spans="1:10" x14ac:dyDescent="0.2">
      <c r="A271" s="2"/>
    </row>
    <row r="272" spans="1:10" x14ac:dyDescent="0.2">
      <c r="A272" s="2"/>
    </row>
    <row r="273" spans="1:8" x14ac:dyDescent="0.2">
      <c r="A273" s="110" t="s">
        <v>3557</v>
      </c>
    </row>
    <row r="274" spans="1:8" x14ac:dyDescent="0.2">
      <c r="A274" s="2"/>
    </row>
    <row r="275" spans="1:8" x14ac:dyDescent="0.2">
      <c r="A275" s="2"/>
    </row>
    <row r="276" spans="1:8" x14ac:dyDescent="0.2">
      <c r="A276" s="2"/>
    </row>
    <row r="277" spans="1:8" x14ac:dyDescent="0.2">
      <c r="A277" s="2"/>
    </row>
    <row r="278" spans="1:8" x14ac:dyDescent="0.2">
      <c r="A278" s="2"/>
    </row>
    <row r="279" spans="1:8" x14ac:dyDescent="0.2">
      <c r="A279" s="2"/>
    </row>
    <row r="280" spans="1:8" x14ac:dyDescent="0.2">
      <c r="A280" s="2"/>
    </row>
    <row r="281" spans="1:8" x14ac:dyDescent="0.2">
      <c r="A281" s="2"/>
    </row>
    <row r="282" spans="1:8" x14ac:dyDescent="0.2">
      <c r="A282" s="7" t="s">
        <v>3532</v>
      </c>
      <c r="B282" s="3"/>
      <c r="C282" s="3"/>
      <c r="D282" s="3"/>
      <c r="E282" s="3"/>
      <c r="F282" s="3"/>
      <c r="G282" s="3"/>
      <c r="H282" s="3"/>
    </row>
    <row r="283" spans="1:8" x14ac:dyDescent="0.2">
      <c r="A283" s="1" t="s">
        <v>1524</v>
      </c>
    </row>
    <row r="284" spans="1:8" x14ac:dyDescent="0.2">
      <c r="A284" s="1" t="s">
        <v>1525</v>
      </c>
    </row>
    <row r="285" spans="1:8" x14ac:dyDescent="0.2">
      <c r="A285" s="1" t="s">
        <v>1549</v>
      </c>
    </row>
    <row r="287" spans="1:8" x14ac:dyDescent="0.2">
      <c r="A287" s="1" t="s">
        <v>9</v>
      </c>
      <c r="D287" s="1" t="s">
        <v>286</v>
      </c>
    </row>
    <row r="288" spans="1:8" x14ac:dyDescent="0.2">
      <c r="A288" s="1" t="s">
        <v>1526</v>
      </c>
      <c r="D288" s="23">
        <v>40000</v>
      </c>
    </row>
    <row r="289" spans="1:4" x14ac:dyDescent="0.2">
      <c r="A289" s="1" t="s">
        <v>1527</v>
      </c>
      <c r="D289" s="23">
        <v>50000</v>
      </c>
    </row>
    <row r="290" spans="1:4" x14ac:dyDescent="0.2">
      <c r="A290" s="1" t="s">
        <v>1449</v>
      </c>
      <c r="D290" s="23">
        <v>12000</v>
      </c>
    </row>
    <row r="291" spans="1:4" x14ac:dyDescent="0.2">
      <c r="A291" s="1" t="s">
        <v>1450</v>
      </c>
      <c r="D291" s="23">
        <v>3000</v>
      </c>
    </row>
    <row r="292" spans="1:4" x14ac:dyDescent="0.2">
      <c r="A292" s="1" t="s">
        <v>1528</v>
      </c>
      <c r="D292" s="23">
        <v>14000</v>
      </c>
    </row>
    <row r="293" spans="1:4" x14ac:dyDescent="0.2">
      <c r="A293" s="1" t="s">
        <v>1529</v>
      </c>
      <c r="D293" s="23">
        <v>11000</v>
      </c>
    </row>
    <row r="294" spans="1:4" x14ac:dyDescent="0.2">
      <c r="A294" s="1" t="s">
        <v>260</v>
      </c>
      <c r="D294" s="23">
        <v>34000</v>
      </c>
    </row>
    <row r="295" spans="1:4" x14ac:dyDescent="0.2">
      <c r="A295" s="1" t="s">
        <v>1250</v>
      </c>
      <c r="D295" s="23">
        <v>22000</v>
      </c>
    </row>
    <row r="296" spans="1:4" x14ac:dyDescent="0.2">
      <c r="A296" s="1" t="s">
        <v>1451</v>
      </c>
      <c r="D296" s="23">
        <v>28000</v>
      </c>
    </row>
    <row r="297" spans="1:4" x14ac:dyDescent="0.2">
      <c r="A297" s="1" t="s">
        <v>1222</v>
      </c>
      <c r="D297" s="23">
        <v>14000</v>
      </c>
    </row>
    <row r="298" spans="1:4" x14ac:dyDescent="0.2">
      <c r="A298" s="1" t="s">
        <v>258</v>
      </c>
      <c r="D298" s="23">
        <v>11000</v>
      </c>
    </row>
    <row r="299" spans="1:4" x14ac:dyDescent="0.2">
      <c r="A299" s="1" t="s">
        <v>22</v>
      </c>
      <c r="D299" s="23">
        <v>88000</v>
      </c>
    </row>
    <row r="300" spans="1:4" x14ac:dyDescent="0.2">
      <c r="A300" s="1" t="s">
        <v>14</v>
      </c>
      <c r="D300" s="23">
        <v>14000</v>
      </c>
    </row>
    <row r="301" spans="1:4" x14ac:dyDescent="0.2">
      <c r="A301" s="1" t="s">
        <v>1453</v>
      </c>
      <c r="D301" s="23">
        <v>1000</v>
      </c>
    </row>
    <row r="302" spans="1:4" x14ac:dyDescent="0.2">
      <c r="A302" s="1" t="s">
        <v>1540</v>
      </c>
      <c r="D302" s="23">
        <v>7000</v>
      </c>
    </row>
    <row r="303" spans="1:4" x14ac:dyDescent="0.2">
      <c r="A303" s="1" t="s">
        <v>1237</v>
      </c>
      <c r="D303" s="23">
        <v>10000</v>
      </c>
    </row>
    <row r="304" spans="1:4" x14ac:dyDescent="0.2">
      <c r="A304" s="1" t="s">
        <v>1542</v>
      </c>
      <c r="D304" s="23">
        <v>13000</v>
      </c>
    </row>
    <row r="305" spans="1:4" x14ac:dyDescent="0.2">
      <c r="A305" s="1" t="s">
        <v>1530</v>
      </c>
      <c r="D305" s="23">
        <v>23000</v>
      </c>
    </row>
    <row r="306" spans="1:4" x14ac:dyDescent="0.2">
      <c r="A306" s="1" t="s">
        <v>1531</v>
      </c>
      <c r="D306" s="23">
        <v>52000</v>
      </c>
    </row>
    <row r="307" spans="1:4" x14ac:dyDescent="0.2">
      <c r="A307" s="1" t="s">
        <v>68</v>
      </c>
      <c r="D307" s="23">
        <v>800000</v>
      </c>
    </row>
    <row r="308" spans="1:4" x14ac:dyDescent="0.2">
      <c r="A308" s="1" t="s">
        <v>245</v>
      </c>
      <c r="D308" s="23">
        <v>100000</v>
      </c>
    </row>
    <row r="309" spans="1:4" x14ac:dyDescent="0.2">
      <c r="A309" s="1" t="s">
        <v>1532</v>
      </c>
      <c r="D309" s="23">
        <v>1400000</v>
      </c>
    </row>
    <row r="310" spans="1:4" x14ac:dyDescent="0.2">
      <c r="A310" s="1" t="s">
        <v>1541</v>
      </c>
      <c r="D310" s="23">
        <v>2000</v>
      </c>
    </row>
    <row r="311" spans="1:4" x14ac:dyDescent="0.2">
      <c r="A311" s="1" t="s">
        <v>1487</v>
      </c>
      <c r="D311" s="23">
        <v>230000</v>
      </c>
    </row>
    <row r="312" spans="1:4" x14ac:dyDescent="0.2">
      <c r="A312" s="1" t="s">
        <v>1533</v>
      </c>
      <c r="D312" s="23">
        <v>150000</v>
      </c>
    </row>
    <row r="313" spans="1:4" x14ac:dyDescent="0.2">
      <c r="A313" s="1" t="s">
        <v>19</v>
      </c>
      <c r="D313" s="23">
        <v>90000</v>
      </c>
    </row>
    <row r="314" spans="1:4" x14ac:dyDescent="0.2">
      <c r="A314" s="1" t="s">
        <v>1534</v>
      </c>
      <c r="D314" s="191" t="s">
        <v>26</v>
      </c>
    </row>
    <row r="315" spans="1:4" x14ac:dyDescent="0.2">
      <c r="A315" s="1" t="s">
        <v>1535</v>
      </c>
      <c r="D315" s="23">
        <v>30000</v>
      </c>
    </row>
    <row r="316" spans="1:4" x14ac:dyDescent="0.2">
      <c r="A316" s="1" t="s">
        <v>23</v>
      </c>
      <c r="D316" s="23">
        <v>34000</v>
      </c>
    </row>
    <row r="317" spans="1:4" x14ac:dyDescent="0.2">
      <c r="A317" s="1" t="s">
        <v>16</v>
      </c>
      <c r="D317" s="23">
        <v>75000</v>
      </c>
    </row>
    <row r="318" spans="1:4" x14ac:dyDescent="0.2">
      <c r="A318" s="1" t="s">
        <v>1536</v>
      </c>
      <c r="D318" s="23">
        <v>31000</v>
      </c>
    </row>
    <row r="320" spans="1:4" x14ac:dyDescent="0.2">
      <c r="A320" s="1" t="s">
        <v>561</v>
      </c>
    </row>
    <row r="321" spans="1:16" x14ac:dyDescent="0.2">
      <c r="A321" s="1" t="s">
        <v>1537</v>
      </c>
    </row>
    <row r="322" spans="1:16" x14ac:dyDescent="0.2">
      <c r="A322" s="1" t="s">
        <v>1538</v>
      </c>
    </row>
    <row r="323" spans="1:16" x14ac:dyDescent="0.2">
      <c r="A323" s="1" t="s">
        <v>1539</v>
      </c>
    </row>
    <row r="325" spans="1:16" x14ac:dyDescent="0.2">
      <c r="A325" s="2" t="s">
        <v>1548</v>
      </c>
    </row>
    <row r="327" spans="1:16" x14ac:dyDescent="0.2">
      <c r="A327" s="25" t="s">
        <v>9</v>
      </c>
      <c r="B327" s="25"/>
      <c r="C327" s="25"/>
      <c r="D327" s="25" t="s">
        <v>286</v>
      </c>
      <c r="E327" s="25" t="s">
        <v>6</v>
      </c>
      <c r="F327" s="25" t="s">
        <v>7</v>
      </c>
      <c r="G327" s="25" t="s">
        <v>124</v>
      </c>
      <c r="H327" s="25" t="s">
        <v>4</v>
      </c>
      <c r="I327" s="25" t="s">
        <v>5</v>
      </c>
    </row>
    <row r="328" spans="1:16" s="13" customFormat="1" hidden="1" x14ac:dyDescent="0.2">
      <c r="A328" s="13" t="s">
        <v>1526</v>
      </c>
      <c r="D328" s="252">
        <v>40000</v>
      </c>
      <c r="E328" s="252">
        <f>D328</f>
        <v>40000</v>
      </c>
    </row>
    <row r="329" spans="1:16" s="13" customFormat="1" hidden="1" x14ac:dyDescent="0.2">
      <c r="A329" s="13" t="s">
        <v>1527</v>
      </c>
      <c r="D329" s="252">
        <v>50000</v>
      </c>
      <c r="E329" s="252">
        <f>D329</f>
        <v>50000</v>
      </c>
    </row>
    <row r="330" spans="1:16" s="13" customFormat="1" x14ac:dyDescent="0.2">
      <c r="A330" s="13" t="s">
        <v>1449</v>
      </c>
      <c r="D330" s="252">
        <v>12000</v>
      </c>
      <c r="I330" s="252">
        <f>D330</f>
        <v>12000</v>
      </c>
      <c r="J330" s="13" t="s">
        <v>1186</v>
      </c>
      <c r="M330" s="14"/>
    </row>
    <row r="331" spans="1:16" s="13" customFormat="1" x14ac:dyDescent="0.2">
      <c r="A331" s="13" t="s">
        <v>1450</v>
      </c>
      <c r="D331" s="252">
        <v>3000</v>
      </c>
      <c r="I331" s="252">
        <f>D331</f>
        <v>3000</v>
      </c>
      <c r="J331" s="13" t="s">
        <v>1186</v>
      </c>
      <c r="M331" s="14"/>
    </row>
    <row r="332" spans="1:16" s="13" customFormat="1" x14ac:dyDescent="0.2">
      <c r="A332" s="13" t="s">
        <v>1528</v>
      </c>
      <c r="D332" s="252">
        <v>14000</v>
      </c>
      <c r="I332" s="252">
        <f>D332</f>
        <v>14000</v>
      </c>
      <c r="J332" s="13" t="s">
        <v>1185</v>
      </c>
      <c r="O332" s="15"/>
      <c r="P332" s="252"/>
    </row>
    <row r="333" spans="1:16" s="13" customFormat="1" x14ac:dyDescent="0.2">
      <c r="A333" s="13" t="s">
        <v>2300</v>
      </c>
      <c r="D333" s="252">
        <v>11000</v>
      </c>
      <c r="I333" s="252">
        <f>D333</f>
        <v>11000</v>
      </c>
      <c r="J333" s="13" t="s">
        <v>1185</v>
      </c>
      <c r="O333" s="15"/>
      <c r="P333" s="252"/>
    </row>
    <row r="334" spans="1:16" s="13" customFormat="1" x14ac:dyDescent="0.2">
      <c r="A334" s="13" t="s">
        <v>260</v>
      </c>
      <c r="D334" s="252">
        <v>34000</v>
      </c>
      <c r="I334" s="252">
        <f>D334</f>
        <v>34000</v>
      </c>
      <c r="J334" s="13" t="s">
        <v>1186</v>
      </c>
      <c r="O334" s="15"/>
      <c r="P334" s="15"/>
    </row>
    <row r="335" spans="1:16" s="13" customFormat="1" x14ac:dyDescent="0.2">
      <c r="A335" s="13" t="s">
        <v>1250</v>
      </c>
      <c r="D335" s="252">
        <v>22000</v>
      </c>
      <c r="H335" s="252">
        <f>D335</f>
        <v>22000</v>
      </c>
      <c r="J335" s="13" t="s">
        <v>1189</v>
      </c>
      <c r="O335" s="15"/>
      <c r="P335" s="15"/>
    </row>
    <row r="336" spans="1:16" s="13" customFormat="1" x14ac:dyDescent="0.2">
      <c r="A336" s="13" t="s">
        <v>1451</v>
      </c>
      <c r="D336" s="252">
        <v>28000</v>
      </c>
      <c r="I336" s="252">
        <f>D336</f>
        <v>28000</v>
      </c>
      <c r="J336" s="13" t="s">
        <v>1186</v>
      </c>
      <c r="O336" s="15"/>
      <c r="P336" s="15"/>
    </row>
    <row r="337" spans="1:16" s="13" customFormat="1" x14ac:dyDescent="0.2">
      <c r="A337" s="13" t="s">
        <v>1635</v>
      </c>
      <c r="D337" s="252">
        <v>14000</v>
      </c>
      <c r="H337" s="252">
        <f>D337</f>
        <v>14000</v>
      </c>
      <c r="J337" s="13" t="s">
        <v>1437</v>
      </c>
      <c r="O337" s="15"/>
      <c r="P337" s="15"/>
    </row>
    <row r="338" spans="1:16" s="13" customFormat="1" x14ac:dyDescent="0.2">
      <c r="A338" s="13" t="s">
        <v>258</v>
      </c>
      <c r="D338" s="252">
        <v>11000</v>
      </c>
      <c r="I338" s="252">
        <f>D338</f>
        <v>11000</v>
      </c>
      <c r="J338" s="13" t="s">
        <v>1188</v>
      </c>
      <c r="O338" s="15"/>
      <c r="P338" s="15"/>
    </row>
    <row r="339" spans="1:16" s="13" customFormat="1" x14ac:dyDescent="0.2">
      <c r="A339" s="13" t="s">
        <v>22</v>
      </c>
      <c r="D339" s="252">
        <v>88000</v>
      </c>
      <c r="F339" s="252">
        <v>88000</v>
      </c>
      <c r="O339" s="15"/>
      <c r="P339" s="15"/>
    </row>
    <row r="340" spans="1:16" s="13" customFormat="1" x14ac:dyDescent="0.2">
      <c r="A340" s="13" t="s">
        <v>14</v>
      </c>
      <c r="D340" s="252">
        <v>14000</v>
      </c>
      <c r="E340" s="252">
        <f>D340</f>
        <v>14000</v>
      </c>
      <c r="O340" s="15"/>
      <c r="P340" s="15"/>
    </row>
    <row r="341" spans="1:16" s="13" customFormat="1" x14ac:dyDescent="0.2">
      <c r="A341" s="13" t="s">
        <v>2301</v>
      </c>
      <c r="D341" s="252">
        <v>1000</v>
      </c>
      <c r="I341" s="252">
        <f>D341</f>
        <v>1000</v>
      </c>
      <c r="J341" s="13" t="s">
        <v>1188</v>
      </c>
      <c r="O341" s="15"/>
      <c r="P341" s="15"/>
    </row>
    <row r="342" spans="1:16" s="13" customFormat="1" x14ac:dyDescent="0.2">
      <c r="A342" s="13" t="s">
        <v>2302</v>
      </c>
      <c r="D342" s="252">
        <v>7000</v>
      </c>
      <c r="E342" s="252">
        <f>D342</f>
        <v>7000</v>
      </c>
      <c r="O342" s="15"/>
      <c r="P342" s="15"/>
    </row>
    <row r="343" spans="1:16" s="13" customFormat="1" x14ac:dyDescent="0.2">
      <c r="A343" s="13" t="s">
        <v>1237</v>
      </c>
      <c r="D343" s="252">
        <v>10000</v>
      </c>
      <c r="I343" s="252">
        <f>D343</f>
        <v>10000</v>
      </c>
      <c r="J343" s="13" t="s">
        <v>1186</v>
      </c>
      <c r="O343" s="15"/>
      <c r="P343" s="15"/>
    </row>
    <row r="344" spans="1:16" s="13" customFormat="1" x14ac:dyDescent="0.2">
      <c r="A344" s="13" t="s">
        <v>1542</v>
      </c>
      <c r="D344" s="252">
        <v>13000</v>
      </c>
      <c r="I344" s="252">
        <f>D344</f>
        <v>13000</v>
      </c>
      <c r="J344" s="13" t="s">
        <v>1185</v>
      </c>
      <c r="P344" s="15"/>
    </row>
    <row r="345" spans="1:16" s="13" customFormat="1" x14ac:dyDescent="0.2">
      <c r="A345" s="13" t="s">
        <v>1530</v>
      </c>
      <c r="D345" s="252">
        <v>23000</v>
      </c>
      <c r="I345" s="252">
        <f>D345</f>
        <v>23000</v>
      </c>
      <c r="J345" s="13" t="s">
        <v>1185</v>
      </c>
      <c r="P345" s="15"/>
    </row>
    <row r="346" spans="1:16" s="13" customFormat="1" x14ac:dyDescent="0.2">
      <c r="A346" s="13" t="s">
        <v>1531</v>
      </c>
      <c r="D346" s="252">
        <v>52000</v>
      </c>
      <c r="I346" s="252">
        <f>D346</f>
        <v>52000</v>
      </c>
      <c r="J346" s="13" t="s">
        <v>1186</v>
      </c>
      <c r="P346" s="15"/>
    </row>
    <row r="347" spans="1:16" s="13" customFormat="1" x14ac:dyDescent="0.2">
      <c r="A347" s="13" t="s">
        <v>68</v>
      </c>
      <c r="D347" s="252">
        <v>800000</v>
      </c>
      <c r="H347" s="252">
        <f>D347</f>
        <v>800000</v>
      </c>
      <c r="J347" s="13" t="s">
        <v>68</v>
      </c>
    </row>
    <row r="348" spans="1:16" s="13" customFormat="1" x14ac:dyDescent="0.2">
      <c r="A348" s="13" t="s">
        <v>245</v>
      </c>
      <c r="D348" s="252">
        <v>100000</v>
      </c>
      <c r="E348" s="252">
        <f>D348</f>
        <v>100000</v>
      </c>
    </row>
    <row r="349" spans="1:16" s="13" customFormat="1" x14ac:dyDescent="0.2">
      <c r="A349" s="13" t="s">
        <v>1532</v>
      </c>
      <c r="D349" s="252">
        <v>1400000</v>
      </c>
      <c r="E349" s="252">
        <f>D349</f>
        <v>1400000</v>
      </c>
    </row>
    <row r="350" spans="1:16" s="13" customFormat="1" x14ac:dyDescent="0.2">
      <c r="A350" s="13" t="s">
        <v>2303</v>
      </c>
      <c r="D350" s="252">
        <v>2000</v>
      </c>
      <c r="F350" s="252">
        <f>D350</f>
        <v>2000</v>
      </c>
    </row>
    <row r="351" spans="1:16" s="13" customFormat="1" x14ac:dyDescent="0.2">
      <c r="A351" s="13" t="s">
        <v>1487</v>
      </c>
      <c r="D351" s="252">
        <v>230000</v>
      </c>
      <c r="I351" s="252">
        <f>D351</f>
        <v>230000</v>
      </c>
      <c r="J351" s="13" t="s">
        <v>1487</v>
      </c>
    </row>
    <row r="352" spans="1:16" s="13" customFormat="1" x14ac:dyDescent="0.2">
      <c r="A352" s="13" t="s">
        <v>1533</v>
      </c>
      <c r="D352" s="252">
        <v>150000</v>
      </c>
      <c r="E352" s="252">
        <f>D352</f>
        <v>150000</v>
      </c>
    </row>
    <row r="353" spans="1:10" s="13" customFormat="1" x14ac:dyDescent="0.2">
      <c r="A353" s="13" t="s">
        <v>19</v>
      </c>
      <c r="D353" s="252">
        <v>90000</v>
      </c>
      <c r="E353" s="252">
        <f>D353</f>
        <v>90000</v>
      </c>
    </row>
    <row r="354" spans="1:10" s="13" customFormat="1" x14ac:dyDescent="0.2">
      <c r="A354" s="13" t="s">
        <v>2304</v>
      </c>
      <c r="D354" s="255" t="s">
        <v>26</v>
      </c>
      <c r="G354" s="256" t="str">
        <f>D354</f>
        <v>?</v>
      </c>
    </row>
    <row r="355" spans="1:10" s="13" customFormat="1" x14ac:dyDescent="0.2">
      <c r="A355" s="13" t="s">
        <v>2305</v>
      </c>
      <c r="D355" s="252">
        <v>30000</v>
      </c>
      <c r="F355" s="252">
        <f>D355</f>
        <v>30000</v>
      </c>
    </row>
    <row r="356" spans="1:10" s="13" customFormat="1" x14ac:dyDescent="0.2">
      <c r="A356" s="13" t="s">
        <v>23</v>
      </c>
      <c r="D356" s="252">
        <v>34000</v>
      </c>
      <c r="F356" s="252">
        <f>D356</f>
        <v>34000</v>
      </c>
    </row>
    <row r="357" spans="1:10" s="13" customFormat="1" x14ac:dyDescent="0.2">
      <c r="A357" s="13" t="s">
        <v>16</v>
      </c>
      <c r="D357" s="252">
        <v>75000</v>
      </c>
      <c r="F357" s="252">
        <f>D357</f>
        <v>75000</v>
      </c>
    </row>
    <row r="358" spans="1:10" s="13" customFormat="1" x14ac:dyDescent="0.2">
      <c r="A358" s="13" t="s">
        <v>1536</v>
      </c>
      <c r="D358" s="252">
        <v>31000</v>
      </c>
      <c r="F358" s="252">
        <f>D358</f>
        <v>31000</v>
      </c>
    </row>
    <row r="359" spans="1:10" x14ac:dyDescent="0.2">
      <c r="A359" s="1" t="s">
        <v>272</v>
      </c>
      <c r="E359" s="257">
        <f>SUM(E328:E358)</f>
        <v>1851000</v>
      </c>
      <c r="F359" s="257">
        <f>SUM(F328:F358)</f>
        <v>260000</v>
      </c>
      <c r="G359" s="258" t="s">
        <v>26</v>
      </c>
      <c r="H359" s="257">
        <f>SUM(H328:H358)</f>
        <v>836000</v>
      </c>
      <c r="I359" s="257">
        <f>SUM(I328:I358)</f>
        <v>442000</v>
      </c>
      <c r="J359" s="12"/>
    </row>
    <row r="360" spans="1:10" x14ac:dyDescent="0.2">
      <c r="E360" s="13" t="s">
        <v>6</v>
      </c>
      <c r="F360" s="13" t="s">
        <v>7</v>
      </c>
      <c r="G360" s="13" t="s">
        <v>1551</v>
      </c>
      <c r="H360" s="13" t="s">
        <v>4</v>
      </c>
      <c r="I360" s="13" t="s">
        <v>5</v>
      </c>
      <c r="J360" s="12"/>
    </row>
    <row r="362" spans="1:10" x14ac:dyDescent="0.2">
      <c r="A362" s="1" t="s">
        <v>1552</v>
      </c>
    </row>
    <row r="364" spans="1:10" x14ac:dyDescent="0.2">
      <c r="A364" s="1" t="s">
        <v>1553</v>
      </c>
      <c r="C364" s="1" t="s">
        <v>2306</v>
      </c>
      <c r="H364" s="1" t="s">
        <v>2307</v>
      </c>
    </row>
    <row r="365" spans="1:10" s="13" customFormat="1" x14ac:dyDescent="0.2">
      <c r="H365" s="13" t="s">
        <v>2308</v>
      </c>
    </row>
    <row r="366" spans="1:10" s="13" customFormat="1" x14ac:dyDescent="0.2">
      <c r="A366" s="13" t="s">
        <v>1554</v>
      </c>
      <c r="C366" s="13" t="s">
        <v>1556</v>
      </c>
      <c r="H366" s="13" t="s">
        <v>2309</v>
      </c>
    </row>
    <row r="367" spans="1:10" s="12" customFormat="1" x14ac:dyDescent="0.2"/>
    <row r="368" spans="1:10" s="13" customFormat="1" x14ac:dyDescent="0.2">
      <c r="A368" s="13" t="s">
        <v>1555</v>
      </c>
      <c r="C368" s="259" t="s">
        <v>1557</v>
      </c>
      <c r="H368" s="13" t="s">
        <v>2310</v>
      </c>
    </row>
    <row r="369" spans="1:8" s="12" customFormat="1" x14ac:dyDescent="0.2">
      <c r="C369" s="493"/>
    </row>
    <row r="370" spans="1:8" s="12" customFormat="1" ht="17" thickBot="1" x14ac:dyDescent="0.25">
      <c r="A370" s="13" t="s">
        <v>2311</v>
      </c>
      <c r="C370" s="259"/>
      <c r="D370" s="13"/>
      <c r="E370" s="13"/>
      <c r="F370" s="13"/>
      <c r="G370" s="13"/>
      <c r="H370" s="13"/>
    </row>
    <row r="371" spans="1:8" s="13" customFormat="1" ht="17" thickBot="1" x14ac:dyDescent="0.25">
      <c r="A371" s="396" t="s">
        <v>2312</v>
      </c>
      <c r="B371" s="310"/>
      <c r="C371" s="290" t="s">
        <v>1558</v>
      </c>
      <c r="D371" s="290"/>
      <c r="E371" s="290"/>
      <c r="F371" s="397"/>
    </row>
    <row r="372" spans="1:8" s="12" customFormat="1" x14ac:dyDescent="0.2"/>
    <row r="373" spans="1:8" s="13" customFormat="1" x14ac:dyDescent="0.2">
      <c r="A373" s="13" t="s">
        <v>1559</v>
      </c>
    </row>
    <row r="374" spans="1:8" s="13" customFormat="1" x14ac:dyDescent="0.2">
      <c r="C374" s="248">
        <v>442000</v>
      </c>
      <c r="D374" s="260">
        <v>260000</v>
      </c>
      <c r="F374" s="260">
        <v>836000</v>
      </c>
    </row>
    <row r="375" spans="1:8" s="13" customFormat="1" x14ac:dyDescent="0.2">
      <c r="E375" s="13" t="s">
        <v>1560</v>
      </c>
    </row>
    <row r="376" spans="1:8" s="13" customFormat="1" x14ac:dyDescent="0.2">
      <c r="C376" s="260">
        <v>1851000</v>
      </c>
    </row>
    <row r="377" spans="1:8" s="13" customFormat="1" x14ac:dyDescent="0.2"/>
    <row r="378" spans="1:8" s="13" customFormat="1" x14ac:dyDescent="0.2">
      <c r="A378" s="13" t="s">
        <v>1561</v>
      </c>
      <c r="F378" s="13" t="s">
        <v>1562</v>
      </c>
    </row>
    <row r="379" spans="1:8" s="13" customFormat="1" x14ac:dyDescent="0.2"/>
    <row r="380" spans="1:8" s="13" customFormat="1" x14ac:dyDescent="0.2">
      <c r="A380" s="395" t="s">
        <v>1563</v>
      </c>
      <c r="B380" s="393"/>
      <c r="C380" s="393"/>
      <c r="D380" s="393"/>
      <c r="E380" s="394">
        <f>1851000+442000-260000-836000</f>
        <v>1197000</v>
      </c>
      <c r="F380" s="393" t="s">
        <v>1051</v>
      </c>
    </row>
    <row r="382" spans="1:8" x14ac:dyDescent="0.2">
      <c r="A382" s="2" t="s">
        <v>1564</v>
      </c>
    </row>
    <row r="383" spans="1:8" x14ac:dyDescent="0.2">
      <c r="A383" s="14"/>
      <c r="B383" s="13"/>
      <c r="C383" s="13"/>
      <c r="D383" s="13"/>
      <c r="E383" s="13"/>
    </row>
    <row r="384" spans="1:8" x14ac:dyDescent="0.2">
      <c r="A384" s="13" t="s">
        <v>68</v>
      </c>
      <c r="B384" s="13"/>
      <c r="C384" s="15" t="s">
        <v>69</v>
      </c>
      <c r="D384" s="252">
        <f>H347</f>
        <v>800000</v>
      </c>
      <c r="E384" s="13"/>
    </row>
    <row r="385" spans="1:18" x14ac:dyDescent="0.2">
      <c r="A385" s="13" t="s">
        <v>1487</v>
      </c>
      <c r="B385" s="13"/>
      <c r="C385" s="15" t="s">
        <v>70</v>
      </c>
      <c r="D385" s="252">
        <f>-I351</f>
        <v>-230000</v>
      </c>
      <c r="E385" s="13"/>
    </row>
    <row r="386" spans="1:18" x14ac:dyDescent="0.2">
      <c r="A386" s="13" t="s">
        <v>71</v>
      </c>
      <c r="B386" s="13"/>
      <c r="C386" s="15" t="s">
        <v>72</v>
      </c>
      <c r="D386" s="261">
        <f>D384+D385</f>
        <v>570000</v>
      </c>
      <c r="E386" s="13"/>
    </row>
    <row r="387" spans="1:18" x14ac:dyDescent="0.2">
      <c r="A387" s="13" t="s">
        <v>1185</v>
      </c>
      <c r="B387" s="13"/>
      <c r="C387" s="15" t="s">
        <v>70</v>
      </c>
      <c r="D387" s="252">
        <f>-'2 - ביאורים'!D33</f>
        <v>-61000</v>
      </c>
      <c r="E387" s="13"/>
    </row>
    <row r="388" spans="1:18" x14ac:dyDescent="0.2">
      <c r="A388" s="13" t="s">
        <v>1186</v>
      </c>
      <c r="B388" s="13"/>
      <c r="C388" s="15" t="s">
        <v>70</v>
      </c>
      <c r="D388" s="252">
        <f>-'2 - ביאורים'!D44</f>
        <v>-139000</v>
      </c>
      <c r="E388" s="13"/>
    </row>
    <row r="389" spans="1:18" x14ac:dyDescent="0.2">
      <c r="A389" s="13" t="s">
        <v>1502</v>
      </c>
      <c r="B389" s="13"/>
      <c r="C389" s="15" t="s">
        <v>2313</v>
      </c>
      <c r="D389" s="252">
        <v>14000</v>
      </c>
      <c r="E389" s="13"/>
    </row>
    <row r="390" spans="1:18" x14ac:dyDescent="0.2">
      <c r="A390" s="13" t="s">
        <v>1503</v>
      </c>
      <c r="B390" s="13"/>
      <c r="C390" s="15" t="s">
        <v>72</v>
      </c>
      <c r="D390" s="261">
        <f>SUM(D386:D389)</f>
        <v>384000</v>
      </c>
      <c r="E390" s="13"/>
    </row>
    <row r="391" spans="1:18" x14ac:dyDescent="0.2">
      <c r="A391" s="13" t="s">
        <v>1188</v>
      </c>
      <c r="B391" s="13"/>
      <c r="C391" s="15" t="s">
        <v>70</v>
      </c>
      <c r="D391" s="252">
        <v>-12000</v>
      </c>
      <c r="E391" s="13"/>
    </row>
    <row r="392" spans="1:18" x14ac:dyDescent="0.2">
      <c r="A392" s="13" t="s">
        <v>1189</v>
      </c>
      <c r="B392" s="13"/>
      <c r="C392" s="15" t="s">
        <v>69</v>
      </c>
      <c r="D392" s="252">
        <v>22000</v>
      </c>
      <c r="E392" s="13"/>
    </row>
    <row r="393" spans="1:18" x14ac:dyDescent="0.2">
      <c r="A393" s="13" t="s">
        <v>1504</v>
      </c>
      <c r="B393" s="13"/>
      <c r="C393" s="15" t="s">
        <v>72</v>
      </c>
      <c r="D393" s="261">
        <f>SUM(D390:D392)</f>
        <v>394000</v>
      </c>
      <c r="E393" s="13"/>
    </row>
    <row r="394" spans="1:18" x14ac:dyDescent="0.2">
      <c r="A394" s="13" t="s">
        <v>1505</v>
      </c>
      <c r="B394" s="13"/>
      <c r="C394" s="15" t="s">
        <v>70</v>
      </c>
      <c r="D394" s="13">
        <v>0</v>
      </c>
      <c r="E394" s="13"/>
    </row>
    <row r="395" spans="1:18" x14ac:dyDescent="0.2">
      <c r="A395" s="13" t="s">
        <v>1506</v>
      </c>
      <c r="B395" s="13"/>
      <c r="C395" s="15" t="s">
        <v>72</v>
      </c>
      <c r="D395" s="261">
        <f>D393+D394</f>
        <v>394000</v>
      </c>
      <c r="E395" s="13"/>
    </row>
    <row r="397" spans="1:18" x14ac:dyDescent="0.2">
      <c r="A397" s="1" t="s">
        <v>1584</v>
      </c>
    </row>
    <row r="399" spans="1:18" x14ac:dyDescent="0.2">
      <c r="A399" s="389" t="s">
        <v>6</v>
      </c>
      <c r="B399" s="389"/>
      <c r="C399" s="389"/>
      <c r="E399" s="390" t="s">
        <v>1585</v>
      </c>
      <c r="F399" s="390"/>
      <c r="G399" s="390"/>
    </row>
    <row r="400" spans="1:18" ht="17" thickBot="1" x14ac:dyDescent="0.25">
      <c r="L400" s="25" t="s">
        <v>9</v>
      </c>
      <c r="M400" s="25"/>
      <c r="N400" s="25"/>
      <c r="O400" s="25" t="s">
        <v>286</v>
      </c>
      <c r="P400" s="25" t="s">
        <v>6</v>
      </c>
      <c r="Q400" s="25" t="s">
        <v>7</v>
      </c>
      <c r="R400" s="25" t="s">
        <v>124</v>
      </c>
    </row>
    <row r="401" spans="1:18" x14ac:dyDescent="0.2">
      <c r="A401" s="272" t="s">
        <v>1431</v>
      </c>
      <c r="B401" s="105"/>
      <c r="C401" s="409"/>
      <c r="E401" s="180" t="s">
        <v>1434</v>
      </c>
      <c r="F401" s="100"/>
      <c r="G401" s="19"/>
      <c r="L401" s="13" t="s">
        <v>1526</v>
      </c>
      <c r="M401" s="13"/>
      <c r="N401" s="13"/>
      <c r="O401" s="252">
        <v>40000</v>
      </c>
      <c r="P401" s="252">
        <f>O401</f>
        <v>40000</v>
      </c>
      <c r="Q401" s="13"/>
      <c r="R401" s="13"/>
    </row>
    <row r="402" spans="1:18" x14ac:dyDescent="0.2">
      <c r="A402" s="262" t="s">
        <v>1586</v>
      </c>
      <c r="B402" s="13"/>
      <c r="C402" s="263">
        <f>E328+E329</f>
        <v>90000</v>
      </c>
      <c r="E402" s="262" t="s">
        <v>2897</v>
      </c>
      <c r="F402" s="13"/>
      <c r="G402" s="263">
        <f>'2 - ביאורים'!D138</f>
        <v>118000</v>
      </c>
      <c r="L402" s="13" t="s">
        <v>1527</v>
      </c>
      <c r="M402" s="13"/>
      <c r="N402" s="13"/>
      <c r="O402" s="252">
        <v>50000</v>
      </c>
      <c r="P402" s="252">
        <f>O402</f>
        <v>50000</v>
      </c>
      <c r="Q402" s="13"/>
      <c r="R402" s="13"/>
    </row>
    <row r="403" spans="1:18" x14ac:dyDescent="0.2">
      <c r="A403" s="262" t="s">
        <v>1587</v>
      </c>
      <c r="B403" s="13"/>
      <c r="C403" s="263">
        <f>E340+E342</f>
        <v>21000</v>
      </c>
      <c r="E403" s="262" t="s">
        <v>1596</v>
      </c>
      <c r="F403" s="13"/>
      <c r="G403" s="268">
        <v>77000</v>
      </c>
      <c r="L403" s="13" t="s">
        <v>1449</v>
      </c>
      <c r="M403" s="13"/>
      <c r="N403" s="13"/>
      <c r="O403" s="252">
        <v>12000</v>
      </c>
      <c r="P403" s="13"/>
      <c r="Q403" s="13"/>
      <c r="R403" s="13"/>
    </row>
    <row r="404" spans="1:18" x14ac:dyDescent="0.2">
      <c r="A404" s="262"/>
      <c r="B404" s="13"/>
      <c r="C404" s="264"/>
      <c r="E404" s="262" t="s">
        <v>1536</v>
      </c>
      <c r="F404" s="13"/>
      <c r="G404" s="268">
        <v>31000</v>
      </c>
      <c r="L404" s="13" t="s">
        <v>1450</v>
      </c>
      <c r="M404" s="13"/>
      <c r="N404" s="13"/>
      <c r="O404" s="252">
        <v>3000</v>
      </c>
      <c r="P404" s="13"/>
      <c r="Q404" s="13"/>
      <c r="R404" s="13"/>
    </row>
    <row r="405" spans="1:18" x14ac:dyDescent="0.2">
      <c r="A405" s="262"/>
      <c r="B405" s="13"/>
      <c r="C405" s="264"/>
      <c r="E405" s="262"/>
      <c r="F405" s="13"/>
      <c r="G405" s="264"/>
      <c r="L405" s="13" t="s">
        <v>1528</v>
      </c>
      <c r="M405" s="13"/>
      <c r="N405" s="13"/>
      <c r="O405" s="252">
        <v>14000</v>
      </c>
      <c r="P405" s="13"/>
      <c r="Q405" s="13"/>
      <c r="R405" s="13"/>
    </row>
    <row r="406" spans="1:18" ht="17" thickBot="1" x14ac:dyDescent="0.25">
      <c r="A406" s="262"/>
      <c r="B406" s="13"/>
      <c r="C406" s="264"/>
      <c r="E406" s="265" t="s">
        <v>1442</v>
      </c>
      <c r="F406" s="266"/>
      <c r="G406" s="267">
        <f>SUM(G402:G404)</f>
        <v>226000</v>
      </c>
      <c r="L406" s="13" t="s">
        <v>2300</v>
      </c>
      <c r="M406" s="13"/>
      <c r="N406" s="13"/>
      <c r="O406" s="252">
        <v>11000</v>
      </c>
      <c r="P406" s="13"/>
      <c r="Q406" s="13"/>
      <c r="R406" s="13"/>
    </row>
    <row r="407" spans="1:18" ht="17" thickBot="1" x14ac:dyDescent="0.25">
      <c r="A407" s="265" t="s">
        <v>1439</v>
      </c>
      <c r="B407" s="266"/>
      <c r="C407" s="267">
        <f>SUM(C402:C406)</f>
        <v>111000</v>
      </c>
      <c r="I407" s="492" t="s">
        <v>2904</v>
      </c>
      <c r="J407" s="492"/>
      <c r="K407" s="492"/>
      <c r="L407" s="13" t="s">
        <v>260</v>
      </c>
      <c r="M407" s="13"/>
      <c r="N407" s="13"/>
      <c r="O407" s="252">
        <v>34000</v>
      </c>
      <c r="P407" s="13"/>
      <c r="Q407" s="13"/>
      <c r="R407" s="13"/>
    </row>
    <row r="408" spans="1:18" ht="17" thickBot="1" x14ac:dyDescent="0.25">
      <c r="A408" s="13"/>
      <c r="B408" s="13"/>
      <c r="C408" s="13"/>
      <c r="E408" s="272" t="s">
        <v>1520</v>
      </c>
      <c r="F408" s="105"/>
      <c r="G408" s="409"/>
      <c r="H408" s="13"/>
      <c r="L408" s="13" t="s">
        <v>1250</v>
      </c>
      <c r="M408" s="13"/>
      <c r="N408" s="13"/>
      <c r="O408" s="252">
        <v>22000</v>
      </c>
      <c r="P408" s="13"/>
      <c r="Q408" s="13"/>
      <c r="R408" s="13"/>
    </row>
    <row r="409" spans="1:18" x14ac:dyDescent="0.2">
      <c r="A409" s="272" t="s">
        <v>1432</v>
      </c>
      <c r="B409" s="105"/>
      <c r="C409" s="409"/>
      <c r="E409" s="262" t="s">
        <v>23</v>
      </c>
      <c r="F409" s="13"/>
      <c r="G409" s="263">
        <f>F356</f>
        <v>34000</v>
      </c>
      <c r="H409" s="13"/>
      <c r="I409" s="13" t="s">
        <v>1598</v>
      </c>
      <c r="J409" s="15" t="s">
        <v>124</v>
      </c>
      <c r="L409" s="13" t="s">
        <v>1451</v>
      </c>
      <c r="M409" s="13"/>
      <c r="N409" s="13"/>
      <c r="O409" s="252">
        <v>28000</v>
      </c>
      <c r="P409" s="13"/>
      <c r="Q409" s="13"/>
      <c r="R409" s="13"/>
    </row>
    <row r="410" spans="1:18" ht="17" thickBot="1" x14ac:dyDescent="0.25">
      <c r="A410" s="262" t="s">
        <v>17</v>
      </c>
      <c r="B410" s="13"/>
      <c r="C410" s="268">
        <v>1650000</v>
      </c>
      <c r="E410" s="265"/>
      <c r="F410" s="266"/>
      <c r="G410" s="271"/>
      <c r="H410" s="13"/>
      <c r="I410" s="13" t="s">
        <v>2906</v>
      </c>
      <c r="J410" s="15" t="s">
        <v>2905</v>
      </c>
      <c r="L410" s="13" t="s">
        <v>1635</v>
      </c>
      <c r="M410" s="13"/>
      <c r="N410" s="13"/>
      <c r="O410" s="252">
        <v>14000</v>
      </c>
      <c r="P410" s="13"/>
      <c r="Q410" s="13"/>
      <c r="R410" s="13"/>
    </row>
    <row r="411" spans="1:18" ht="17" thickBot="1" x14ac:dyDescent="0.25">
      <c r="A411" s="262" t="s">
        <v>1438</v>
      </c>
      <c r="B411" s="13"/>
      <c r="C411" s="263">
        <f>E353</f>
        <v>90000</v>
      </c>
      <c r="E411" s="13"/>
      <c r="F411" s="13"/>
      <c r="G411" s="13"/>
      <c r="H411" s="13"/>
      <c r="I411" s="490" t="s">
        <v>1598</v>
      </c>
      <c r="J411" s="490" t="s">
        <v>1551</v>
      </c>
      <c r="L411" s="13" t="s">
        <v>258</v>
      </c>
      <c r="M411" s="13"/>
      <c r="N411" s="13"/>
      <c r="O411" s="252">
        <v>11000</v>
      </c>
      <c r="P411" s="13"/>
      <c r="Q411" s="13"/>
      <c r="R411" s="13"/>
    </row>
    <row r="412" spans="1:18" x14ac:dyDescent="0.2">
      <c r="A412" s="262"/>
      <c r="B412" s="13"/>
      <c r="C412" s="264"/>
      <c r="E412" s="272" t="s">
        <v>124</v>
      </c>
      <c r="F412" s="489"/>
      <c r="G412" s="491">
        <f>1197000+394000</f>
        <v>1591000</v>
      </c>
      <c r="H412" s="15" t="s">
        <v>72</v>
      </c>
      <c r="I412" s="252">
        <f>D395</f>
        <v>394000</v>
      </c>
      <c r="J412" s="15" t="s">
        <v>1597</v>
      </c>
      <c r="K412" s="13"/>
      <c r="L412" s="13" t="s">
        <v>22</v>
      </c>
      <c r="M412" s="13"/>
      <c r="N412" s="13"/>
      <c r="O412" s="252">
        <v>88000</v>
      </c>
      <c r="P412" s="13"/>
      <c r="Q412" s="252">
        <v>88000</v>
      </c>
      <c r="R412" s="13"/>
    </row>
    <row r="413" spans="1:18" ht="17" thickBot="1" x14ac:dyDescent="0.25">
      <c r="A413" s="265" t="s">
        <v>1440</v>
      </c>
      <c r="B413" s="266"/>
      <c r="C413" s="269">
        <f>C410+C411</f>
        <v>1740000</v>
      </c>
      <c r="E413" s="262"/>
      <c r="F413" s="12"/>
      <c r="G413" s="387"/>
      <c r="H413" s="13"/>
      <c r="I413" s="316" t="s">
        <v>1599</v>
      </c>
      <c r="J413" s="12"/>
      <c r="K413" s="13"/>
      <c r="L413" s="13" t="s">
        <v>14</v>
      </c>
      <c r="M413" s="13"/>
      <c r="N413" s="13"/>
      <c r="O413" s="252">
        <v>14000</v>
      </c>
      <c r="P413" s="252">
        <f>O413</f>
        <v>14000</v>
      </c>
      <c r="Q413" s="13"/>
      <c r="R413" s="13"/>
    </row>
    <row r="414" spans="1:18" ht="17" thickBot="1" x14ac:dyDescent="0.25">
      <c r="A414" s="13"/>
      <c r="B414" s="13"/>
      <c r="C414" s="13"/>
      <c r="E414" s="265"/>
      <c r="F414" s="487"/>
      <c r="G414" s="488"/>
      <c r="I414" s="316" t="s">
        <v>326</v>
      </c>
      <c r="J414" s="12"/>
      <c r="L414" s="13" t="s">
        <v>2301</v>
      </c>
      <c r="M414" s="13"/>
      <c r="N414" s="13"/>
      <c r="O414" s="252">
        <v>1000</v>
      </c>
      <c r="P414" s="13"/>
      <c r="Q414" s="13"/>
      <c r="R414" s="13"/>
    </row>
    <row r="415" spans="1:18" x14ac:dyDescent="0.2">
      <c r="A415" s="13"/>
      <c r="B415" s="13"/>
      <c r="C415" s="13"/>
      <c r="E415" s="13"/>
      <c r="F415" s="13"/>
      <c r="G415" s="13"/>
      <c r="H415" s="13"/>
      <c r="I415" s="12"/>
      <c r="J415" s="12"/>
      <c r="K415" s="13"/>
      <c r="L415" s="13" t="s">
        <v>2302</v>
      </c>
      <c r="M415" s="13"/>
      <c r="N415" s="13"/>
      <c r="O415" s="252">
        <v>7000</v>
      </c>
      <c r="P415" s="252">
        <f>O415</f>
        <v>7000</v>
      </c>
      <c r="Q415" s="13"/>
      <c r="R415" s="13"/>
    </row>
    <row r="416" spans="1:18" x14ac:dyDescent="0.2">
      <c r="A416" s="13" t="s">
        <v>1433</v>
      </c>
      <c r="B416" s="13"/>
      <c r="C416" s="270">
        <f>C407+C413</f>
        <v>1851000</v>
      </c>
      <c r="E416" s="13" t="s">
        <v>1435</v>
      </c>
      <c r="F416" s="13"/>
      <c r="G416" s="270">
        <f>G406+G409+G412</f>
        <v>1851000</v>
      </c>
      <c r="H416" s="13"/>
      <c r="I416" s="12"/>
      <c r="J416" s="12"/>
      <c r="K416" s="13"/>
      <c r="L416" s="13" t="s">
        <v>1237</v>
      </c>
      <c r="M416" s="13"/>
      <c r="N416" s="13"/>
      <c r="O416" s="252">
        <v>10000</v>
      </c>
      <c r="P416" s="13"/>
      <c r="Q416" s="13"/>
      <c r="R416" s="13"/>
    </row>
    <row r="417" spans="1:18" x14ac:dyDescent="0.2">
      <c r="L417" s="13" t="s">
        <v>1542</v>
      </c>
      <c r="M417" s="13"/>
      <c r="N417" s="13"/>
      <c r="O417" s="252">
        <v>13000</v>
      </c>
      <c r="P417" s="13"/>
      <c r="Q417" s="13"/>
      <c r="R417" s="13"/>
    </row>
    <row r="418" spans="1:18" x14ac:dyDescent="0.2">
      <c r="L418" s="13" t="s">
        <v>1530</v>
      </c>
      <c r="M418" s="13"/>
      <c r="N418" s="13"/>
      <c r="O418" s="252">
        <v>23000</v>
      </c>
      <c r="P418" s="13"/>
      <c r="Q418" s="13"/>
      <c r="R418" s="13"/>
    </row>
    <row r="419" spans="1:18" x14ac:dyDescent="0.2">
      <c r="A419" s="492" t="s">
        <v>2898</v>
      </c>
      <c r="L419" s="13" t="s">
        <v>1531</v>
      </c>
      <c r="M419" s="13"/>
      <c r="N419" s="13"/>
      <c r="O419" s="252">
        <v>52000</v>
      </c>
      <c r="P419" s="12"/>
      <c r="Q419" s="12"/>
      <c r="R419" s="12"/>
    </row>
    <row r="420" spans="1:18" x14ac:dyDescent="0.2">
      <c r="A420" s="1" t="s">
        <v>2899</v>
      </c>
      <c r="L420" s="13" t="s">
        <v>68</v>
      </c>
      <c r="M420" s="13"/>
      <c r="N420" s="13"/>
      <c r="O420" s="252">
        <v>800000</v>
      </c>
      <c r="P420" s="13"/>
      <c r="Q420" s="13"/>
      <c r="R420" s="13"/>
    </row>
    <row r="421" spans="1:18" x14ac:dyDescent="0.2">
      <c r="A421" s="1" t="s">
        <v>2900</v>
      </c>
      <c r="L421" s="13" t="s">
        <v>245</v>
      </c>
      <c r="M421" s="13"/>
      <c r="N421" s="13"/>
      <c r="O421" s="252">
        <v>100000</v>
      </c>
      <c r="P421" s="252">
        <f>O421</f>
        <v>100000</v>
      </c>
      <c r="Q421" s="12"/>
      <c r="R421" s="12"/>
    </row>
    <row r="422" spans="1:18" x14ac:dyDescent="0.2">
      <c r="A422" s="1" t="s">
        <v>2901</v>
      </c>
      <c r="D422" s="24">
        <v>260000</v>
      </c>
      <c r="F422" s="1" t="s">
        <v>2902</v>
      </c>
      <c r="L422" s="13" t="s">
        <v>1532</v>
      </c>
      <c r="M422" s="13"/>
      <c r="N422" s="13"/>
      <c r="O422" s="252">
        <v>1400000</v>
      </c>
      <c r="P422" s="252">
        <f>O422</f>
        <v>1400000</v>
      </c>
      <c r="Q422" s="12"/>
      <c r="R422" s="12"/>
    </row>
    <row r="423" spans="1:18" x14ac:dyDescent="0.2">
      <c r="A423" s="1" t="s">
        <v>2907</v>
      </c>
      <c r="L423" s="13" t="s">
        <v>2303</v>
      </c>
      <c r="M423" s="13"/>
      <c r="N423" s="13"/>
      <c r="O423" s="252">
        <v>2000</v>
      </c>
      <c r="P423" s="12"/>
      <c r="Q423" s="252">
        <f>O423</f>
        <v>2000</v>
      </c>
      <c r="R423" s="12"/>
    </row>
    <row r="424" spans="1:18" x14ac:dyDescent="0.2">
      <c r="L424" s="13" t="s">
        <v>1487</v>
      </c>
      <c r="M424" s="13"/>
      <c r="N424" s="13"/>
      <c r="O424" s="252">
        <v>230000</v>
      </c>
      <c r="P424" s="13"/>
      <c r="Q424" s="13"/>
      <c r="R424" s="13"/>
    </row>
    <row r="425" spans="1:18" x14ac:dyDescent="0.2">
      <c r="A425" s="1" t="s">
        <v>2903</v>
      </c>
      <c r="L425" s="13" t="s">
        <v>1533</v>
      </c>
      <c r="M425" s="13"/>
      <c r="N425" s="13"/>
      <c r="O425" s="252">
        <v>150000</v>
      </c>
      <c r="P425" s="252">
        <f>O425</f>
        <v>150000</v>
      </c>
      <c r="Q425" s="12"/>
      <c r="R425" s="12"/>
    </row>
    <row r="426" spans="1:18" x14ac:dyDescent="0.2">
      <c r="D426" s="1" t="s">
        <v>2908</v>
      </c>
      <c r="L426" s="13" t="s">
        <v>19</v>
      </c>
      <c r="M426" s="13"/>
      <c r="N426" s="13"/>
      <c r="O426" s="252">
        <v>90000</v>
      </c>
      <c r="P426" s="252">
        <f>O426</f>
        <v>90000</v>
      </c>
      <c r="Q426" s="12"/>
      <c r="R426" s="12"/>
    </row>
    <row r="427" spans="1:18" x14ac:dyDescent="0.2">
      <c r="D427" s="1" t="s">
        <v>2909</v>
      </c>
      <c r="L427" s="13" t="s">
        <v>2304</v>
      </c>
      <c r="M427" s="13"/>
      <c r="N427" s="13"/>
      <c r="O427" s="255" t="s">
        <v>26</v>
      </c>
      <c r="P427" s="13"/>
      <c r="Q427" s="13"/>
      <c r="R427" s="256" t="str">
        <f>O427</f>
        <v>?</v>
      </c>
    </row>
    <row r="428" spans="1:18" x14ac:dyDescent="0.2">
      <c r="L428" s="13" t="s">
        <v>2305</v>
      </c>
      <c r="M428" s="13"/>
      <c r="N428" s="13"/>
      <c r="O428" s="252">
        <v>30000</v>
      </c>
      <c r="P428" s="13"/>
      <c r="Q428" s="252">
        <f>O428</f>
        <v>30000</v>
      </c>
      <c r="R428" s="13"/>
    </row>
    <row r="429" spans="1:18" x14ac:dyDescent="0.2">
      <c r="L429" s="13" t="s">
        <v>23</v>
      </c>
      <c r="M429" s="13"/>
      <c r="N429" s="13"/>
      <c r="O429" s="252">
        <v>34000</v>
      </c>
      <c r="P429" s="13"/>
      <c r="Q429" s="252">
        <f>O429</f>
        <v>34000</v>
      </c>
      <c r="R429" s="13"/>
    </row>
    <row r="430" spans="1:18" x14ac:dyDescent="0.2">
      <c r="L430" s="13" t="s">
        <v>16</v>
      </c>
      <c r="M430" s="13"/>
      <c r="N430" s="13"/>
      <c r="O430" s="252">
        <v>75000</v>
      </c>
      <c r="P430" s="13"/>
      <c r="Q430" s="252">
        <f>O430</f>
        <v>75000</v>
      </c>
      <c r="R430" s="13"/>
    </row>
    <row r="431" spans="1:18" x14ac:dyDescent="0.2">
      <c r="L431" s="13" t="s">
        <v>1536</v>
      </c>
      <c r="M431" s="13"/>
      <c r="N431" s="13"/>
      <c r="O431" s="252">
        <v>31000</v>
      </c>
      <c r="P431" s="13"/>
      <c r="Q431" s="252">
        <f>O431</f>
        <v>31000</v>
      </c>
      <c r="R431" s="13"/>
    </row>
    <row r="432" spans="1:18" ht="17" thickBot="1" x14ac:dyDescent="0.25">
      <c r="L432" s="1" t="s">
        <v>272</v>
      </c>
      <c r="P432" s="257">
        <f>SUM(P401:P431)</f>
        <v>1851000</v>
      </c>
      <c r="Q432" s="257">
        <f>SUM(Q401:Q431)</f>
        <v>260000</v>
      </c>
      <c r="R432" s="258" t="s">
        <v>26</v>
      </c>
    </row>
    <row r="433" spans="1:9" ht="18" thickBot="1" x14ac:dyDescent="0.25">
      <c r="A433" s="494" t="s">
        <v>2910</v>
      </c>
      <c r="B433" s="495"/>
      <c r="C433" s="495"/>
      <c r="D433" s="495"/>
      <c r="E433" s="495"/>
      <c r="F433" s="495"/>
      <c r="G433" s="495"/>
      <c r="H433" s="496"/>
    </row>
    <row r="434" spans="1:9" x14ac:dyDescent="0.2">
      <c r="A434" s="1" t="s">
        <v>2911</v>
      </c>
    </row>
    <row r="435" spans="1:9" x14ac:dyDescent="0.2">
      <c r="A435" s="1" t="s">
        <v>2912</v>
      </c>
    </row>
    <row r="436" spans="1:9" x14ac:dyDescent="0.2">
      <c r="A436" s="1" t="s">
        <v>2913</v>
      </c>
    </row>
    <row r="438" spans="1:9" x14ac:dyDescent="0.2">
      <c r="A438" s="1" t="s">
        <v>2916</v>
      </c>
      <c r="F438" s="1" t="s">
        <v>2915</v>
      </c>
    </row>
    <row r="440" spans="1:9" x14ac:dyDescent="0.2">
      <c r="B440" s="1" t="s">
        <v>1191</v>
      </c>
      <c r="D440" s="6" t="s">
        <v>69</v>
      </c>
      <c r="G440" s="1" t="s">
        <v>1199</v>
      </c>
      <c r="I440" s="6" t="s">
        <v>69</v>
      </c>
    </row>
    <row r="441" spans="1:9" x14ac:dyDescent="0.2">
      <c r="B441" s="1" t="s">
        <v>116</v>
      </c>
      <c r="D441" s="6" t="s">
        <v>70</v>
      </c>
      <c r="G441" s="1" t="s">
        <v>1200</v>
      </c>
      <c r="I441" s="6" t="s">
        <v>69</v>
      </c>
    </row>
    <row r="442" spans="1:9" ht="17" thickBot="1" x14ac:dyDescent="0.25">
      <c r="B442" s="1" t="s">
        <v>1192</v>
      </c>
      <c r="D442" s="6" t="s">
        <v>70</v>
      </c>
      <c r="G442" s="1" t="s">
        <v>100</v>
      </c>
      <c r="I442" s="6" t="s">
        <v>70</v>
      </c>
    </row>
    <row r="443" spans="1:9" ht="17" thickBot="1" x14ac:dyDescent="0.25">
      <c r="B443" s="1" t="s">
        <v>2914</v>
      </c>
      <c r="D443" s="497" t="s">
        <v>72</v>
      </c>
      <c r="G443" s="1" t="s">
        <v>101</v>
      </c>
      <c r="I443" s="6" t="s">
        <v>70</v>
      </c>
    </row>
    <row r="444" spans="1:9" ht="17" thickBot="1" x14ac:dyDescent="0.25">
      <c r="G444" s="1" t="s">
        <v>82</v>
      </c>
      <c r="I444" s="497" t="s">
        <v>72</v>
      </c>
    </row>
    <row r="445" spans="1:9" x14ac:dyDescent="0.2">
      <c r="A445" s="1" t="s">
        <v>2917</v>
      </c>
    </row>
    <row r="447" spans="1:9" x14ac:dyDescent="0.2">
      <c r="B447" s="1" t="s">
        <v>2918</v>
      </c>
      <c r="D447" s="6" t="s">
        <v>69</v>
      </c>
    </row>
    <row r="448" spans="1:9" x14ac:dyDescent="0.2">
      <c r="B448" s="1" t="s">
        <v>2919</v>
      </c>
      <c r="D448" s="6" t="s">
        <v>69</v>
      </c>
    </row>
    <row r="449" spans="1:8" ht="17" thickBot="1" x14ac:dyDescent="0.25">
      <c r="B449" s="1" t="s">
        <v>2920</v>
      </c>
      <c r="D449" s="6" t="s">
        <v>70</v>
      </c>
    </row>
    <row r="450" spans="1:8" ht="17" thickBot="1" x14ac:dyDescent="0.25">
      <c r="B450" s="1" t="s">
        <v>2921</v>
      </c>
      <c r="D450" s="497" t="s">
        <v>72</v>
      </c>
    </row>
    <row r="451" spans="1:8" ht="17" thickBot="1" x14ac:dyDescent="0.25"/>
    <row r="452" spans="1:8" ht="17" thickBot="1" x14ac:dyDescent="0.25">
      <c r="A452" s="283" t="s">
        <v>2922</v>
      </c>
      <c r="B452" s="94"/>
      <c r="C452" s="94"/>
      <c r="D452" s="94"/>
      <c r="E452" s="94"/>
      <c r="F452" s="94"/>
      <c r="G452" s="94"/>
      <c r="H452" s="95"/>
    </row>
    <row r="454" spans="1:8" x14ac:dyDescent="0.2">
      <c r="A454" s="1" t="s">
        <v>2923</v>
      </c>
    </row>
    <row r="455" spans="1:8" x14ac:dyDescent="0.2">
      <c r="D455" s="6" t="s">
        <v>320</v>
      </c>
      <c r="E455" s="6" t="s">
        <v>1728</v>
      </c>
    </row>
    <row r="456" spans="1:8" x14ac:dyDescent="0.2">
      <c r="C456" s="36" t="s">
        <v>824</v>
      </c>
      <c r="D456" s="36" t="s">
        <v>122</v>
      </c>
      <c r="E456" s="36" t="s">
        <v>95</v>
      </c>
    </row>
    <row r="457" spans="1:8" x14ac:dyDescent="0.2">
      <c r="A457" s="1" t="s">
        <v>1573</v>
      </c>
      <c r="C457" s="44">
        <v>900000</v>
      </c>
    </row>
    <row r="458" spans="1:8" x14ac:dyDescent="0.2">
      <c r="A458" s="1" t="s">
        <v>100</v>
      </c>
      <c r="C458" s="44">
        <v>20000</v>
      </c>
    </row>
    <row r="459" spans="1:8" x14ac:dyDescent="0.2">
      <c r="A459" s="1" t="s">
        <v>259</v>
      </c>
      <c r="C459" s="44">
        <v>340000</v>
      </c>
    </row>
    <row r="460" spans="1:8" x14ac:dyDescent="0.2">
      <c r="A460" s="1" t="s">
        <v>101</v>
      </c>
      <c r="C460" s="44">
        <v>14000</v>
      </c>
    </row>
    <row r="461" spans="1:8" x14ac:dyDescent="0.2">
      <c r="A461" s="1" t="s">
        <v>2924</v>
      </c>
      <c r="C461" s="44">
        <v>12000</v>
      </c>
    </row>
    <row r="462" spans="1:8" x14ac:dyDescent="0.2">
      <c r="A462" s="1" t="s">
        <v>1192</v>
      </c>
      <c r="C462" s="44">
        <v>9000</v>
      </c>
    </row>
    <row r="463" spans="1:8" x14ac:dyDescent="0.2">
      <c r="A463" s="1" t="s">
        <v>2925</v>
      </c>
      <c r="C463" s="44">
        <v>24000</v>
      </c>
    </row>
    <row r="464" spans="1:8" x14ac:dyDescent="0.2">
      <c r="A464" s="1" t="s">
        <v>2926</v>
      </c>
      <c r="C464" s="44">
        <v>32000</v>
      </c>
    </row>
    <row r="465" spans="1:5" x14ac:dyDescent="0.2">
      <c r="A465" s="1" t="s">
        <v>2927</v>
      </c>
      <c r="C465" s="44">
        <v>17000</v>
      </c>
    </row>
    <row r="466" spans="1:5" x14ac:dyDescent="0.2">
      <c r="A466" s="1" t="s">
        <v>2928</v>
      </c>
      <c r="C466" s="44">
        <v>10000</v>
      </c>
    </row>
    <row r="467" spans="1:5" x14ac:dyDescent="0.2">
      <c r="A467" s="1" t="s">
        <v>109</v>
      </c>
      <c r="C467" s="44">
        <v>13000</v>
      </c>
    </row>
    <row r="469" spans="1:5" x14ac:dyDescent="0.2">
      <c r="A469" s="1" t="s">
        <v>195</v>
      </c>
    </row>
    <row r="470" spans="1:5" x14ac:dyDescent="0.2">
      <c r="A470" s="1" t="s">
        <v>2929</v>
      </c>
    </row>
    <row r="471" spans="1:5" x14ac:dyDescent="0.2">
      <c r="A471" s="1" t="s">
        <v>2930</v>
      </c>
    </row>
    <row r="473" spans="1:5" x14ac:dyDescent="0.2">
      <c r="D473" s="6" t="s">
        <v>320</v>
      </c>
      <c r="E473" s="6" t="s">
        <v>1728</v>
      </c>
    </row>
    <row r="474" spans="1:5" x14ac:dyDescent="0.2">
      <c r="C474" s="36" t="s">
        <v>824</v>
      </c>
      <c r="D474" s="36" t="s">
        <v>122</v>
      </c>
      <c r="E474" s="36" t="s">
        <v>95</v>
      </c>
    </row>
    <row r="475" spans="1:5" x14ac:dyDescent="0.2">
      <c r="A475" s="1" t="s">
        <v>1573</v>
      </c>
      <c r="C475" s="44">
        <v>900000</v>
      </c>
      <c r="D475" s="44">
        <f>C475</f>
        <v>900000</v>
      </c>
      <c r="E475" s="6"/>
    </row>
    <row r="476" spans="1:5" x14ac:dyDescent="0.2">
      <c r="A476" s="13" t="s">
        <v>100</v>
      </c>
      <c r="B476" s="13"/>
      <c r="C476" s="256">
        <v>20000</v>
      </c>
      <c r="D476" s="15"/>
      <c r="E476" s="498">
        <f>-C476</f>
        <v>-20000</v>
      </c>
    </row>
    <row r="477" spans="1:5" x14ac:dyDescent="0.2">
      <c r="A477" s="1" t="s">
        <v>2931</v>
      </c>
      <c r="C477" s="44">
        <v>340000</v>
      </c>
      <c r="D477" s="6"/>
      <c r="E477" s="498">
        <f>C477</f>
        <v>340000</v>
      </c>
    </row>
    <row r="478" spans="1:5" x14ac:dyDescent="0.2">
      <c r="A478" s="1" t="s">
        <v>101</v>
      </c>
      <c r="C478" s="44">
        <v>14000</v>
      </c>
      <c r="D478" s="6"/>
      <c r="E478" s="499">
        <f>-C478</f>
        <v>-14000</v>
      </c>
    </row>
    <row r="479" spans="1:5" x14ac:dyDescent="0.2">
      <c r="A479" s="1" t="s">
        <v>2933</v>
      </c>
      <c r="C479" s="44">
        <v>12000</v>
      </c>
      <c r="D479" s="6" t="s">
        <v>2932</v>
      </c>
      <c r="E479" s="6"/>
    </row>
    <row r="480" spans="1:5" s="13" customFormat="1" x14ac:dyDescent="0.2">
      <c r="A480" s="13" t="s">
        <v>1192</v>
      </c>
      <c r="C480" s="256">
        <v>9000</v>
      </c>
      <c r="D480" s="256">
        <f>-C480</f>
        <v>-9000</v>
      </c>
      <c r="E480" s="15"/>
    </row>
    <row r="481" spans="1:5" x14ac:dyDescent="0.2">
      <c r="A481" s="1" t="s">
        <v>2925</v>
      </c>
      <c r="C481" s="44">
        <v>24000</v>
      </c>
      <c r="D481" s="6"/>
      <c r="E481" s="44">
        <f>C481</f>
        <v>24000</v>
      </c>
    </row>
    <row r="482" spans="1:5" x14ac:dyDescent="0.2">
      <c r="A482" s="1" t="s">
        <v>2926</v>
      </c>
      <c r="C482" s="44">
        <v>32000</v>
      </c>
      <c r="D482" s="6"/>
      <c r="E482" s="44">
        <f>-C482</f>
        <v>-32000</v>
      </c>
    </row>
    <row r="483" spans="1:5" x14ac:dyDescent="0.2">
      <c r="A483" s="1" t="s">
        <v>2927</v>
      </c>
      <c r="C483" s="44">
        <v>17000</v>
      </c>
      <c r="D483" s="6"/>
      <c r="E483" s="499">
        <f>C483</f>
        <v>17000</v>
      </c>
    </row>
    <row r="484" spans="1:5" x14ac:dyDescent="0.2">
      <c r="A484" s="1" t="s">
        <v>2928</v>
      </c>
      <c r="C484" s="44">
        <v>10000</v>
      </c>
      <c r="D484" s="6" t="s">
        <v>1550</v>
      </c>
      <c r="E484" s="6"/>
    </row>
    <row r="485" spans="1:5" x14ac:dyDescent="0.2">
      <c r="A485" s="1" t="s">
        <v>2934</v>
      </c>
      <c r="C485" s="44">
        <v>13000</v>
      </c>
      <c r="D485" s="6"/>
      <c r="E485" s="87" t="s">
        <v>1189</v>
      </c>
    </row>
    <row r="486" spans="1:5" x14ac:dyDescent="0.2">
      <c r="A486" s="1" t="s">
        <v>272</v>
      </c>
      <c r="C486" s="44"/>
      <c r="D486" s="134">
        <f>SUM(D475:D485)</f>
        <v>891000</v>
      </c>
      <c r="E486" s="134">
        <f>SUM(E475:E485)</f>
        <v>315000</v>
      </c>
    </row>
    <row r="488" spans="1:5" x14ac:dyDescent="0.2">
      <c r="A488" s="16" t="s">
        <v>82</v>
      </c>
      <c r="B488" s="1" t="s">
        <v>2935</v>
      </c>
    </row>
    <row r="490" spans="1:5" x14ac:dyDescent="0.2">
      <c r="A490" s="1" t="s">
        <v>2936</v>
      </c>
    </row>
    <row r="491" spans="1:5" x14ac:dyDescent="0.2">
      <c r="B491" s="1" t="s">
        <v>122</v>
      </c>
      <c r="C491" s="44">
        <f>D486</f>
        <v>891000</v>
      </c>
    </row>
    <row r="492" spans="1:5" x14ac:dyDescent="0.2">
      <c r="B492" s="1" t="s">
        <v>95</v>
      </c>
      <c r="C492" s="44">
        <f>-E486</f>
        <v>-315000</v>
      </c>
    </row>
    <row r="493" spans="1:5" x14ac:dyDescent="0.2">
      <c r="B493" s="1" t="s">
        <v>71</v>
      </c>
      <c r="C493" s="134">
        <f>C491+C492</f>
        <v>576000</v>
      </c>
    </row>
    <row r="495" spans="1:5" x14ac:dyDescent="0.2">
      <c r="A495" s="1" t="s">
        <v>2937</v>
      </c>
    </row>
    <row r="496" spans="1:5" x14ac:dyDescent="0.2">
      <c r="A496" s="1" t="s">
        <v>2938</v>
      </c>
    </row>
    <row r="497" spans="1:1" x14ac:dyDescent="0.2">
      <c r="A497" s="1" t="s">
        <v>2939</v>
      </c>
    </row>
  </sheetData>
  <mergeCells count="1">
    <mergeCell ref="M215:N2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E3F2F-8B32-2E48-87C8-1D57C2D4F645}">
  <dimension ref="A1:L138"/>
  <sheetViews>
    <sheetView rightToLeft="1" topLeftCell="A10" zoomScale="296" workbookViewId="0">
      <selection activeCell="C23" sqref="C23"/>
    </sheetView>
  </sheetViews>
  <sheetFormatPr baseColWidth="10" defaultRowHeight="16" x14ac:dyDescent="0.2"/>
  <cols>
    <col min="1" max="16384" width="10.83203125" style="1"/>
  </cols>
  <sheetData>
    <row r="1" spans="1:5" x14ac:dyDescent="0.2">
      <c r="A1" s="1" t="s">
        <v>1565</v>
      </c>
    </row>
    <row r="3" spans="1:5" x14ac:dyDescent="0.2">
      <c r="A3" s="2" t="s">
        <v>2318</v>
      </c>
    </row>
    <row r="4" spans="1:5" x14ac:dyDescent="0.2">
      <c r="A4" s="1" t="s">
        <v>1566</v>
      </c>
    </row>
    <row r="5" spans="1:5" x14ac:dyDescent="0.2">
      <c r="A5" s="1" t="s">
        <v>1567</v>
      </c>
    </row>
    <row r="6" spans="1:5" x14ac:dyDescent="0.2">
      <c r="B6" s="1" t="s">
        <v>1568</v>
      </c>
      <c r="E6" s="6" t="s">
        <v>69</v>
      </c>
    </row>
    <row r="7" spans="1:5" x14ac:dyDescent="0.2">
      <c r="B7" s="1" t="s">
        <v>1569</v>
      </c>
      <c r="E7" s="6" t="s">
        <v>70</v>
      </c>
    </row>
    <row r="8" spans="1:5" x14ac:dyDescent="0.2">
      <c r="B8" s="1" t="s">
        <v>75</v>
      </c>
      <c r="E8" s="6" t="s">
        <v>70</v>
      </c>
    </row>
    <row r="9" spans="1:5" x14ac:dyDescent="0.2">
      <c r="B9" s="1" t="s">
        <v>1570</v>
      </c>
      <c r="E9" s="6" t="s">
        <v>72</v>
      </c>
    </row>
    <row r="11" spans="1:5" x14ac:dyDescent="0.2">
      <c r="A11" s="1" t="s">
        <v>1571</v>
      </c>
    </row>
    <row r="13" spans="1:5" x14ac:dyDescent="0.2">
      <c r="A13" s="1" t="s">
        <v>1572</v>
      </c>
    </row>
    <row r="15" spans="1:5" x14ac:dyDescent="0.2">
      <c r="B15" s="1" t="s">
        <v>1573</v>
      </c>
      <c r="D15" s="41">
        <v>500000</v>
      </c>
    </row>
    <row r="16" spans="1:5" x14ac:dyDescent="0.2">
      <c r="B16" s="1" t="s">
        <v>116</v>
      </c>
      <c r="D16" s="41">
        <v>70000</v>
      </c>
    </row>
    <row r="17" spans="1:5" x14ac:dyDescent="0.2">
      <c r="B17" s="1" t="s">
        <v>1192</v>
      </c>
      <c r="D17" s="41">
        <v>20000</v>
      </c>
    </row>
    <row r="19" spans="1:5" x14ac:dyDescent="0.2">
      <c r="A19" s="1" t="s">
        <v>1574</v>
      </c>
    </row>
    <row r="21" spans="1:5" x14ac:dyDescent="0.2">
      <c r="B21" s="1" t="s">
        <v>1568</v>
      </c>
      <c r="E21" s="41">
        <f>D15</f>
        <v>500000</v>
      </c>
    </row>
    <row r="22" spans="1:5" x14ac:dyDescent="0.2">
      <c r="B22" s="1" t="s">
        <v>1569</v>
      </c>
      <c r="E22" s="44">
        <f>-D17</f>
        <v>-20000</v>
      </c>
    </row>
    <row r="23" spans="1:5" x14ac:dyDescent="0.2">
      <c r="B23" s="1" t="s">
        <v>75</v>
      </c>
      <c r="E23" s="44">
        <f>-D16</f>
        <v>-70000</v>
      </c>
    </row>
    <row r="24" spans="1:5" x14ac:dyDescent="0.2">
      <c r="B24" s="1" t="s">
        <v>1570</v>
      </c>
      <c r="E24" s="55">
        <f>SUM(E21:E23)</f>
        <v>410000</v>
      </c>
    </row>
    <row r="26" spans="1:5" x14ac:dyDescent="0.2">
      <c r="A26" s="2" t="s">
        <v>1185</v>
      </c>
    </row>
    <row r="27" spans="1:5" x14ac:dyDescent="0.2">
      <c r="A27" s="1" t="s">
        <v>1575</v>
      </c>
    </row>
    <row r="29" spans="1:5" x14ac:dyDescent="0.2">
      <c r="A29" s="1" t="s">
        <v>1528</v>
      </c>
      <c r="D29" s="44">
        <f>'2 - הרצאה'!I332</f>
        <v>14000</v>
      </c>
    </row>
    <row r="30" spans="1:5" x14ac:dyDescent="0.2">
      <c r="A30" s="1" t="s">
        <v>1576</v>
      </c>
      <c r="D30" s="44">
        <f>'2 - הרצאה'!I333</f>
        <v>11000</v>
      </c>
    </row>
    <row r="31" spans="1:5" x14ac:dyDescent="0.2">
      <c r="A31" s="1" t="s">
        <v>1542</v>
      </c>
      <c r="D31" s="44">
        <f>'2 - הרצאה'!I344</f>
        <v>13000</v>
      </c>
    </row>
    <row r="32" spans="1:5" x14ac:dyDescent="0.2">
      <c r="A32" s="1" t="s">
        <v>1577</v>
      </c>
      <c r="D32" s="44">
        <f>'2 - הרצאה'!I345</f>
        <v>23000</v>
      </c>
    </row>
    <row r="33" spans="1:4" x14ac:dyDescent="0.2">
      <c r="A33" s="1" t="s">
        <v>272</v>
      </c>
      <c r="D33" s="55">
        <f>SUM(D29:D32)</f>
        <v>61000</v>
      </c>
    </row>
    <row r="35" spans="1:4" x14ac:dyDescent="0.2">
      <c r="A35" s="2" t="s">
        <v>1186</v>
      </c>
    </row>
    <row r="36" spans="1:4" x14ac:dyDescent="0.2">
      <c r="A36" s="1" t="s">
        <v>1578</v>
      </c>
    </row>
    <row r="38" spans="1:4" x14ac:dyDescent="0.2">
      <c r="A38" s="1" t="s">
        <v>1449</v>
      </c>
      <c r="D38" s="44">
        <v>12000</v>
      </c>
    </row>
    <row r="39" spans="1:4" x14ac:dyDescent="0.2">
      <c r="A39" s="1" t="s">
        <v>1450</v>
      </c>
      <c r="D39" s="44">
        <v>3000</v>
      </c>
    </row>
    <row r="40" spans="1:4" x14ac:dyDescent="0.2">
      <c r="A40" s="1" t="s">
        <v>260</v>
      </c>
      <c r="D40" s="44">
        <v>34000</v>
      </c>
    </row>
    <row r="41" spans="1:4" x14ac:dyDescent="0.2">
      <c r="A41" s="1" t="s">
        <v>1451</v>
      </c>
      <c r="D41" s="44">
        <v>28000</v>
      </c>
    </row>
    <row r="42" spans="1:4" x14ac:dyDescent="0.2">
      <c r="A42" s="1" t="s">
        <v>1237</v>
      </c>
      <c r="D42" s="44">
        <v>10000</v>
      </c>
    </row>
    <row r="43" spans="1:4" x14ac:dyDescent="0.2">
      <c r="A43" s="1" t="s">
        <v>1531</v>
      </c>
      <c r="D43" s="44">
        <v>52000</v>
      </c>
    </row>
    <row r="44" spans="1:4" x14ac:dyDescent="0.2">
      <c r="A44" s="1" t="s">
        <v>272</v>
      </c>
      <c r="D44" s="55">
        <f>SUM(D38:D43)</f>
        <v>139000</v>
      </c>
    </row>
    <row r="46" spans="1:4" x14ac:dyDescent="0.2">
      <c r="A46" s="2" t="s">
        <v>1437</v>
      </c>
    </row>
    <row r="47" spans="1:4" x14ac:dyDescent="0.2">
      <c r="A47" s="1" t="s">
        <v>1579</v>
      </c>
    </row>
    <row r="48" spans="1:4" x14ac:dyDescent="0.2">
      <c r="A48" s="1" t="s">
        <v>1580</v>
      </c>
    </row>
    <row r="49" spans="1:10" x14ac:dyDescent="0.2">
      <c r="A49" s="1" t="s">
        <v>1581</v>
      </c>
    </row>
    <row r="50" spans="1:10" x14ac:dyDescent="0.2">
      <c r="A50" s="1" t="s">
        <v>1582</v>
      </c>
    </row>
    <row r="52" spans="1:10" x14ac:dyDescent="0.2">
      <c r="A52" s="130" t="s">
        <v>1222</v>
      </c>
      <c r="B52" s="130"/>
      <c r="C52" s="130"/>
      <c r="D52" s="254">
        <v>14000</v>
      </c>
    </row>
    <row r="54" spans="1:10" x14ac:dyDescent="0.2">
      <c r="A54" s="2" t="s">
        <v>2319</v>
      </c>
    </row>
    <row r="55" spans="1:10" x14ac:dyDescent="0.2">
      <c r="A55" s="1" t="s">
        <v>2314</v>
      </c>
    </row>
    <row r="56" spans="1:10" x14ac:dyDescent="0.2">
      <c r="A56" s="2" t="s">
        <v>2316</v>
      </c>
      <c r="B56" s="2"/>
      <c r="C56" s="2"/>
      <c r="D56" s="2"/>
      <c r="E56" s="2"/>
      <c r="F56" s="2"/>
      <c r="G56" s="2"/>
      <c r="H56" s="2"/>
    </row>
    <row r="57" spans="1:10" x14ac:dyDescent="0.2">
      <c r="A57" s="2" t="s">
        <v>2315</v>
      </c>
      <c r="B57" s="2"/>
      <c r="C57" s="2"/>
      <c r="D57" s="2"/>
      <c r="E57" s="2"/>
      <c r="F57" s="2"/>
      <c r="G57" s="2"/>
      <c r="H57" s="2"/>
    </row>
    <row r="58" spans="1:10" x14ac:dyDescent="0.2">
      <c r="A58" s="1" t="s">
        <v>2317</v>
      </c>
      <c r="B58" s="2"/>
      <c r="C58" s="2"/>
      <c r="D58" s="2"/>
      <c r="E58" s="2"/>
      <c r="F58" s="2"/>
      <c r="G58" s="2"/>
      <c r="H58" s="2"/>
    </row>
    <row r="60" spans="1:10" x14ac:dyDescent="0.2">
      <c r="A60" s="1" t="s">
        <v>258</v>
      </c>
      <c r="D60" s="23">
        <v>11000</v>
      </c>
    </row>
    <row r="61" spans="1:10" x14ac:dyDescent="0.2">
      <c r="A61" s="1" t="s">
        <v>1453</v>
      </c>
      <c r="D61" s="23">
        <v>1000</v>
      </c>
    </row>
    <row r="62" spans="1:10" x14ac:dyDescent="0.2">
      <c r="D62" s="253">
        <f>SUM(D60:D61)</f>
        <v>12000</v>
      </c>
    </row>
    <row r="64" spans="1:10" ht="17" thickBot="1" x14ac:dyDescent="0.25">
      <c r="A64" s="2" t="s">
        <v>1583</v>
      </c>
      <c r="J64" s="1" t="s">
        <v>2324</v>
      </c>
    </row>
    <row r="65" spans="1:12" x14ac:dyDescent="0.2">
      <c r="A65" s="1" t="s">
        <v>2320</v>
      </c>
      <c r="J65" s="398"/>
      <c r="K65" s="402" t="s">
        <v>2326</v>
      </c>
      <c r="L65" s="402" t="s">
        <v>2327</v>
      </c>
    </row>
    <row r="66" spans="1:12" ht="17" thickBot="1" x14ac:dyDescent="0.25">
      <c r="A66" s="1" t="s">
        <v>2321</v>
      </c>
      <c r="J66" s="398"/>
      <c r="K66" s="405" t="s">
        <v>2325</v>
      </c>
      <c r="L66" s="406" t="s">
        <v>2328</v>
      </c>
    </row>
    <row r="67" spans="1:12" x14ac:dyDescent="0.2">
      <c r="A67" s="1" t="s">
        <v>2322</v>
      </c>
      <c r="J67" s="830" t="s">
        <v>2335</v>
      </c>
      <c r="K67" s="402" t="s">
        <v>2329</v>
      </c>
      <c r="L67" s="399" t="s">
        <v>2329</v>
      </c>
    </row>
    <row r="68" spans="1:12" x14ac:dyDescent="0.2">
      <c r="A68" s="1" t="s">
        <v>2323</v>
      </c>
      <c r="J68" s="831"/>
      <c r="K68" s="403" t="s">
        <v>2330</v>
      </c>
      <c r="L68" s="400" t="s">
        <v>2332</v>
      </c>
    </row>
    <row r="69" spans="1:12" ht="17" thickBot="1" x14ac:dyDescent="0.25">
      <c r="J69" s="832"/>
      <c r="K69" s="404" t="s">
        <v>2331</v>
      </c>
      <c r="L69" s="401" t="s">
        <v>2333</v>
      </c>
    </row>
    <row r="70" spans="1:12" x14ac:dyDescent="0.2">
      <c r="A70" s="1" t="s">
        <v>1250</v>
      </c>
      <c r="D70" s="253">
        <v>22000</v>
      </c>
      <c r="J70" s="833" t="s">
        <v>2336</v>
      </c>
      <c r="K70" s="402" t="s">
        <v>5</v>
      </c>
      <c r="L70" s="402" t="s">
        <v>4</v>
      </c>
    </row>
    <row r="71" spans="1:12" ht="17" thickBot="1" x14ac:dyDescent="0.25">
      <c r="J71" s="834"/>
      <c r="K71" s="404" t="s">
        <v>2334</v>
      </c>
      <c r="L71" s="404" t="s">
        <v>2334</v>
      </c>
    </row>
    <row r="73" spans="1:12" x14ac:dyDescent="0.2">
      <c r="A73" s="2" t="s">
        <v>2351</v>
      </c>
    </row>
    <row r="74" spans="1:12" x14ac:dyDescent="0.2">
      <c r="A74" s="1" t="s">
        <v>2337</v>
      </c>
    </row>
    <row r="75" spans="1:12" x14ac:dyDescent="0.2">
      <c r="A75" s="1" t="s">
        <v>2338</v>
      </c>
    </row>
    <row r="76" spans="1:12" x14ac:dyDescent="0.2">
      <c r="A76" s="1" t="s">
        <v>2339</v>
      </c>
    </row>
    <row r="78" spans="1:12" x14ac:dyDescent="0.2">
      <c r="B78" s="1" t="s">
        <v>2340</v>
      </c>
      <c r="E78" s="6" t="s">
        <v>69</v>
      </c>
    </row>
    <row r="79" spans="1:12" x14ac:dyDescent="0.2">
      <c r="B79" s="1" t="s">
        <v>2341</v>
      </c>
      <c r="E79" s="6" t="s">
        <v>69</v>
      </c>
    </row>
    <row r="80" spans="1:12" x14ac:dyDescent="0.2">
      <c r="B80" s="1" t="s">
        <v>2343</v>
      </c>
      <c r="D80" s="6"/>
      <c r="E80" s="6" t="s">
        <v>70</v>
      </c>
    </row>
    <row r="81" spans="1:6" x14ac:dyDescent="0.2">
      <c r="B81" s="1" t="s">
        <v>2344</v>
      </c>
      <c r="D81" s="6"/>
      <c r="E81" s="6" t="s">
        <v>72</v>
      </c>
      <c r="F81" s="1" t="s">
        <v>2345</v>
      </c>
    </row>
    <row r="82" spans="1:6" x14ac:dyDescent="0.2">
      <c r="D82" s="6"/>
    </row>
    <row r="83" spans="1:6" x14ac:dyDescent="0.2">
      <c r="A83" s="1" t="s">
        <v>2342</v>
      </c>
      <c r="D83" s="6"/>
    </row>
    <row r="84" spans="1:6" x14ac:dyDescent="0.2">
      <c r="D84" s="6"/>
    </row>
    <row r="85" spans="1:6" x14ac:dyDescent="0.2">
      <c r="A85" s="1" t="s">
        <v>2346</v>
      </c>
      <c r="D85" s="6"/>
    </row>
    <row r="86" spans="1:6" x14ac:dyDescent="0.2">
      <c r="A86" s="1" t="s">
        <v>2349</v>
      </c>
      <c r="D86" s="6"/>
    </row>
    <row r="87" spans="1:6" x14ac:dyDescent="0.2">
      <c r="A87" s="1" t="s">
        <v>2350</v>
      </c>
      <c r="D87" s="6"/>
    </row>
    <row r="88" spans="1:6" x14ac:dyDescent="0.2">
      <c r="A88" s="1" t="s">
        <v>2347</v>
      </c>
      <c r="D88" s="6"/>
    </row>
    <row r="89" spans="1:6" x14ac:dyDescent="0.2">
      <c r="D89" s="6"/>
    </row>
    <row r="90" spans="1:6" x14ac:dyDescent="0.2">
      <c r="A90" s="1" t="s">
        <v>2348</v>
      </c>
      <c r="D90" s="6"/>
    </row>
    <row r="91" spans="1:6" x14ac:dyDescent="0.2">
      <c r="D91" s="6"/>
    </row>
    <row r="92" spans="1:6" x14ac:dyDescent="0.2">
      <c r="B92" s="1" t="s">
        <v>2340</v>
      </c>
      <c r="E92" s="150">
        <v>100</v>
      </c>
    </row>
    <row r="93" spans="1:6" x14ac:dyDescent="0.2">
      <c r="B93" s="1" t="s">
        <v>2341</v>
      </c>
      <c r="E93" s="6">
        <v>0</v>
      </c>
    </row>
    <row r="94" spans="1:6" x14ac:dyDescent="0.2">
      <c r="B94" s="1" t="s">
        <v>2343</v>
      </c>
      <c r="D94" s="6"/>
      <c r="E94" s="134">
        <v>-5</v>
      </c>
    </row>
    <row r="95" spans="1:6" x14ac:dyDescent="0.2">
      <c r="B95" s="1" t="s">
        <v>2344</v>
      </c>
      <c r="D95" s="6"/>
      <c r="E95" s="157">
        <f>E92+E93+E94</f>
        <v>95</v>
      </c>
      <c r="F95" s="1" t="s">
        <v>2345</v>
      </c>
    </row>
    <row r="96" spans="1:6" x14ac:dyDescent="0.2">
      <c r="D96" s="6"/>
    </row>
    <row r="97" spans="1:4" x14ac:dyDescent="0.2">
      <c r="D97" s="6"/>
    </row>
    <row r="98" spans="1:4" x14ac:dyDescent="0.2">
      <c r="A98" s="2" t="s">
        <v>53</v>
      </c>
    </row>
    <row r="99" spans="1:4" x14ac:dyDescent="0.2">
      <c r="A99" s="1" t="s">
        <v>1588</v>
      </c>
    </row>
    <row r="100" spans="1:4" x14ac:dyDescent="0.2">
      <c r="A100" s="1" t="s">
        <v>1589</v>
      </c>
    </row>
    <row r="101" spans="1:4" x14ac:dyDescent="0.2">
      <c r="A101" s="1" t="s">
        <v>1590</v>
      </c>
    </row>
    <row r="103" spans="1:4" x14ac:dyDescent="0.2">
      <c r="A103" s="1" t="s">
        <v>245</v>
      </c>
      <c r="D103" s="23">
        <v>100000</v>
      </c>
    </row>
    <row r="104" spans="1:4" x14ac:dyDescent="0.2">
      <c r="A104" s="1" t="s">
        <v>1532</v>
      </c>
      <c r="D104" s="23">
        <v>1400000</v>
      </c>
    </row>
    <row r="105" spans="1:4" x14ac:dyDescent="0.2">
      <c r="A105" s="1" t="s">
        <v>1533</v>
      </c>
      <c r="D105" s="23">
        <v>150000</v>
      </c>
    </row>
    <row r="106" spans="1:4" x14ac:dyDescent="0.2">
      <c r="D106" s="253">
        <f>SUM(D103:D105)</f>
        <v>1650000</v>
      </c>
    </row>
    <row r="108" spans="1:4" x14ac:dyDescent="0.2">
      <c r="A108" s="1" t="s">
        <v>2352</v>
      </c>
    </row>
    <row r="109" spans="1:4" x14ac:dyDescent="0.2">
      <c r="A109" s="1" t="s">
        <v>2353</v>
      </c>
    </row>
    <row r="111" spans="1:4" x14ac:dyDescent="0.2">
      <c r="A111" s="1" t="s">
        <v>2354</v>
      </c>
    </row>
    <row r="112" spans="1:4" x14ac:dyDescent="0.2">
      <c r="A112" s="1" t="s">
        <v>2355</v>
      </c>
      <c r="C112" s="24">
        <v>10000</v>
      </c>
    </row>
    <row r="113" spans="1:6" x14ac:dyDescent="0.2">
      <c r="A113" s="1" t="s">
        <v>2356</v>
      </c>
      <c r="C113" s="24">
        <v>20000</v>
      </c>
    </row>
    <row r="114" spans="1:6" x14ac:dyDescent="0.2">
      <c r="C114" s="24"/>
      <c r="E114" s="6" t="s">
        <v>2360</v>
      </c>
    </row>
    <row r="115" spans="1:6" ht="17" thickBot="1" x14ac:dyDescent="0.25">
      <c r="D115" s="158" t="s">
        <v>677</v>
      </c>
      <c r="E115" s="158" t="s">
        <v>650</v>
      </c>
      <c r="F115" s="158" t="s">
        <v>2358</v>
      </c>
    </row>
    <row r="116" spans="1:6" x14ac:dyDescent="0.2">
      <c r="A116" s="1" t="s">
        <v>245</v>
      </c>
      <c r="D116" s="44">
        <f>D103</f>
        <v>100000</v>
      </c>
      <c r="E116" s="44">
        <f>-C112</f>
        <v>-10000</v>
      </c>
      <c r="F116" s="44">
        <f>D116+E116</f>
        <v>90000</v>
      </c>
    </row>
    <row r="117" spans="1:6" x14ac:dyDescent="0.2">
      <c r="A117" s="1" t="s">
        <v>1532</v>
      </c>
      <c r="D117" s="44">
        <f t="shared" ref="D117:D118" si="0">D104</f>
        <v>1400000</v>
      </c>
      <c r="E117" s="44">
        <v>0</v>
      </c>
      <c r="F117" s="44">
        <f>D117+E117</f>
        <v>1400000</v>
      </c>
    </row>
    <row r="118" spans="1:6" ht="17" thickBot="1" x14ac:dyDescent="0.25">
      <c r="A118" s="1" t="s">
        <v>2357</v>
      </c>
      <c r="D118" s="407">
        <f t="shared" si="0"/>
        <v>150000</v>
      </c>
      <c r="E118" s="407">
        <f>-C113</f>
        <v>-20000</v>
      </c>
      <c r="F118" s="407">
        <f>D118+E118</f>
        <v>130000</v>
      </c>
    </row>
    <row r="119" spans="1:6" x14ac:dyDescent="0.2">
      <c r="A119" s="1" t="s">
        <v>272</v>
      </c>
      <c r="D119" s="44">
        <f>SUM(D116:D118)</f>
        <v>1650000</v>
      </c>
      <c r="E119" s="44">
        <f>SUM(E116:E118)</f>
        <v>-30000</v>
      </c>
      <c r="F119" s="408">
        <f>SUM(F116:F118)</f>
        <v>1620000</v>
      </c>
    </row>
    <row r="120" spans="1:6" x14ac:dyDescent="0.2">
      <c r="D120" s="44"/>
      <c r="E120" s="44"/>
      <c r="F120" s="408" t="s">
        <v>2359</v>
      </c>
    </row>
    <row r="121" spans="1:6" x14ac:dyDescent="0.2">
      <c r="D121" s="6"/>
      <c r="E121" s="6"/>
      <c r="F121" s="157" t="s">
        <v>2345</v>
      </c>
    </row>
    <row r="123" spans="1:6" x14ac:dyDescent="0.2">
      <c r="A123" s="1" t="s">
        <v>2361</v>
      </c>
    </row>
    <row r="124" spans="1:6" x14ac:dyDescent="0.2">
      <c r="A124" s="1" t="s">
        <v>2362</v>
      </c>
    </row>
    <row r="126" spans="1:6" x14ac:dyDescent="0.2">
      <c r="A126" s="2" t="s">
        <v>1155</v>
      </c>
    </row>
    <row r="127" spans="1:6" x14ac:dyDescent="0.2">
      <c r="A127" s="1" t="s">
        <v>1591</v>
      </c>
    </row>
    <row r="128" spans="1:6" x14ac:dyDescent="0.2">
      <c r="A128" s="1" t="s">
        <v>1592</v>
      </c>
    </row>
    <row r="130" spans="1:4" x14ac:dyDescent="0.2">
      <c r="A130" s="1" t="s">
        <v>19</v>
      </c>
      <c r="D130" s="23">
        <f>90000</f>
        <v>90000</v>
      </c>
    </row>
    <row r="132" spans="1:4" x14ac:dyDescent="0.2">
      <c r="A132" s="2" t="s">
        <v>1593</v>
      </c>
    </row>
    <row r="133" spans="1:4" x14ac:dyDescent="0.2">
      <c r="A133" s="1" t="s">
        <v>1594</v>
      </c>
    </row>
    <row r="134" spans="1:4" x14ac:dyDescent="0.2">
      <c r="A134" s="1" t="s">
        <v>1595</v>
      </c>
    </row>
    <row r="136" spans="1:4" x14ac:dyDescent="0.2">
      <c r="A136" s="1" t="s">
        <v>22</v>
      </c>
      <c r="D136" s="23">
        <v>88000</v>
      </c>
    </row>
    <row r="137" spans="1:4" x14ac:dyDescent="0.2">
      <c r="A137" s="1" t="s">
        <v>1535</v>
      </c>
      <c r="D137" s="23">
        <v>30000</v>
      </c>
    </row>
    <row r="138" spans="1:4" x14ac:dyDescent="0.2">
      <c r="D138" s="253">
        <f>SUM(D135:D137)</f>
        <v>118000</v>
      </c>
    </row>
  </sheetData>
  <mergeCells count="2">
    <mergeCell ref="J67:J69"/>
    <mergeCell ref="J70:J7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90839-C11B-0044-B773-C7E5715DEDF1}">
  <dimension ref="A2:H47"/>
  <sheetViews>
    <sheetView rightToLeft="1" zoomScale="285" zoomScaleNormal="240" workbookViewId="0">
      <selection activeCell="C18" sqref="C18"/>
    </sheetView>
  </sheetViews>
  <sheetFormatPr baseColWidth="10" defaultRowHeight="16" x14ac:dyDescent="0.2"/>
  <cols>
    <col min="1" max="16384" width="10.83203125" style="1"/>
  </cols>
  <sheetData>
    <row r="2" spans="1:8" x14ac:dyDescent="0.2">
      <c r="A2" s="1" t="s">
        <v>1602</v>
      </c>
    </row>
    <row r="4" spans="1:8" x14ac:dyDescent="0.2">
      <c r="A4" s="7" t="s">
        <v>1603</v>
      </c>
      <c r="B4" s="3"/>
      <c r="C4" s="3"/>
      <c r="D4" s="3"/>
      <c r="E4" s="3"/>
      <c r="F4" s="3"/>
      <c r="G4" s="3"/>
      <c r="H4" s="3"/>
    </row>
    <row r="5" spans="1:8" x14ac:dyDescent="0.2">
      <c r="A5" s="1" t="s">
        <v>1604</v>
      </c>
    </row>
    <row r="6" spans="1:8" x14ac:dyDescent="0.2">
      <c r="A6" s="1" t="s">
        <v>1605</v>
      </c>
    </row>
    <row r="7" spans="1:8" x14ac:dyDescent="0.2">
      <c r="A7" s="1" t="s">
        <v>1606</v>
      </c>
    </row>
    <row r="9" spans="1:8" x14ac:dyDescent="0.2">
      <c r="A9" s="1" t="s">
        <v>1607</v>
      </c>
    </row>
    <row r="11" spans="1:8" x14ac:dyDescent="0.2">
      <c r="A11" s="1" t="s">
        <v>1608</v>
      </c>
    </row>
    <row r="12" spans="1:8" x14ac:dyDescent="0.2">
      <c r="A12" s="1" t="s">
        <v>1609</v>
      </c>
    </row>
    <row r="14" spans="1:8" x14ac:dyDescent="0.2">
      <c r="A14" s="1" t="s">
        <v>1610</v>
      </c>
    </row>
    <row r="16" spans="1:8" x14ac:dyDescent="0.2">
      <c r="A16" s="2" t="s">
        <v>1611</v>
      </c>
    </row>
    <row r="17" spans="1:8" x14ac:dyDescent="0.2">
      <c r="B17" s="1" t="s">
        <v>1613</v>
      </c>
      <c r="C17" s="1" t="s">
        <v>6</v>
      </c>
      <c r="D17" s="1" t="s">
        <v>7</v>
      </c>
      <c r="E17" s="1" t="s">
        <v>1614</v>
      </c>
      <c r="F17" s="1" t="s">
        <v>4</v>
      </c>
      <c r="G17" s="1" t="s">
        <v>5</v>
      </c>
    </row>
    <row r="18" spans="1:8" x14ac:dyDescent="0.2">
      <c r="A18" s="1" t="s">
        <v>1612</v>
      </c>
      <c r="B18" s="24">
        <v>50000</v>
      </c>
      <c r="C18" s="24">
        <f>B18</f>
        <v>50000</v>
      </c>
    </row>
    <row r="19" spans="1:8" x14ac:dyDescent="0.2">
      <c r="A19" s="1" t="s">
        <v>650</v>
      </c>
      <c r="B19" s="24">
        <v>20000</v>
      </c>
      <c r="C19" s="23">
        <f>-B19</f>
        <v>-20000</v>
      </c>
    </row>
    <row r="21" spans="1:8" x14ac:dyDescent="0.2">
      <c r="A21" s="2" t="s">
        <v>1615</v>
      </c>
    </row>
    <row r="23" spans="1:8" x14ac:dyDescent="0.2">
      <c r="B23" s="1" t="s">
        <v>17</v>
      </c>
      <c r="C23" s="24">
        <f>C18+C19</f>
        <v>30000</v>
      </c>
      <c r="E23" s="1" t="s">
        <v>1616</v>
      </c>
    </row>
    <row r="25" spans="1:8" x14ac:dyDescent="0.2">
      <c r="A25" s="7" t="s">
        <v>1617</v>
      </c>
      <c r="B25" s="3"/>
      <c r="C25" s="3"/>
      <c r="D25" s="3"/>
      <c r="E25" s="3"/>
      <c r="F25" s="3"/>
      <c r="G25" s="3"/>
      <c r="H25" s="3"/>
    </row>
    <row r="26" spans="1:8" x14ac:dyDescent="0.2">
      <c r="A26" s="1" t="s">
        <v>1618</v>
      </c>
    </row>
    <row r="27" spans="1:8" x14ac:dyDescent="0.2">
      <c r="A27" s="1" t="s">
        <v>1619</v>
      </c>
    </row>
    <row r="29" spans="1:8" x14ac:dyDescent="0.2">
      <c r="A29" s="6" t="s">
        <v>69</v>
      </c>
      <c r="B29" s="1" t="s">
        <v>1620</v>
      </c>
      <c r="E29" s="24">
        <v>20000</v>
      </c>
      <c r="F29" s="1" t="s">
        <v>1623</v>
      </c>
    </row>
    <row r="30" spans="1:8" x14ac:dyDescent="0.2">
      <c r="A30" s="6" t="s">
        <v>69</v>
      </c>
      <c r="B30" s="1" t="s">
        <v>259</v>
      </c>
      <c r="E30" s="24">
        <v>220000</v>
      </c>
      <c r="F30" s="1" t="s">
        <v>1623</v>
      </c>
    </row>
    <row r="31" spans="1:8" x14ac:dyDescent="0.2">
      <c r="A31" s="6" t="s">
        <v>69</v>
      </c>
      <c r="B31" s="1" t="s">
        <v>99</v>
      </c>
      <c r="E31" s="1">
        <v>0</v>
      </c>
      <c r="F31" s="1" t="s">
        <v>1622</v>
      </c>
    </row>
    <row r="32" spans="1:8" x14ac:dyDescent="0.2">
      <c r="A32" s="6" t="s">
        <v>70</v>
      </c>
      <c r="B32" s="1" t="s">
        <v>100</v>
      </c>
      <c r="E32" s="1">
        <v>0</v>
      </c>
      <c r="F32" s="1" t="s">
        <v>1622</v>
      </c>
    </row>
    <row r="33" spans="1:8" x14ac:dyDescent="0.2">
      <c r="A33" s="6" t="s">
        <v>70</v>
      </c>
      <c r="B33" s="1" t="s">
        <v>1624</v>
      </c>
      <c r="E33" s="23">
        <v>-12000</v>
      </c>
      <c r="F33" s="1" t="s">
        <v>1623</v>
      </c>
    </row>
    <row r="34" spans="1:8" x14ac:dyDescent="0.2">
      <c r="A34" s="6" t="s">
        <v>70</v>
      </c>
      <c r="B34" s="1" t="s">
        <v>1621</v>
      </c>
      <c r="E34" s="23">
        <v>-30000</v>
      </c>
      <c r="F34" s="1" t="s">
        <v>1625</v>
      </c>
    </row>
    <row r="35" spans="1:8" x14ac:dyDescent="0.2">
      <c r="E35" s="89">
        <f>SUM(E29:E34)</f>
        <v>198000</v>
      </c>
    </row>
    <row r="37" spans="1:8" x14ac:dyDescent="0.2">
      <c r="A37" s="7" t="s">
        <v>693</v>
      </c>
      <c r="B37" s="3"/>
      <c r="C37" s="3"/>
      <c r="D37" s="3"/>
      <c r="E37" s="3"/>
      <c r="F37" s="3"/>
      <c r="G37" s="3"/>
      <c r="H37" s="3"/>
    </row>
    <row r="38" spans="1:8" x14ac:dyDescent="0.2">
      <c r="A38" s="1" t="s">
        <v>1626</v>
      </c>
    </row>
    <row r="39" spans="1:8" x14ac:dyDescent="0.2">
      <c r="A39" s="1" t="s">
        <v>1627</v>
      </c>
    </row>
    <row r="41" spans="1:8" x14ac:dyDescent="0.2">
      <c r="A41" s="7" t="s">
        <v>1628</v>
      </c>
      <c r="B41" s="7"/>
      <c r="C41" s="7"/>
      <c r="D41" s="7"/>
      <c r="E41" s="7"/>
      <c r="F41" s="7"/>
      <c r="G41" s="7"/>
      <c r="H41" s="7"/>
    </row>
    <row r="44" spans="1:8" x14ac:dyDescent="0.2">
      <c r="B44" s="1" t="s">
        <v>1629</v>
      </c>
      <c r="E44" s="1" t="s">
        <v>1633</v>
      </c>
    </row>
    <row r="45" spans="1:8" x14ac:dyDescent="0.2">
      <c r="B45" s="1" t="s">
        <v>1632</v>
      </c>
      <c r="E45" s="1" t="s">
        <v>1189</v>
      </c>
    </row>
    <row r="46" spans="1:8" x14ac:dyDescent="0.2">
      <c r="B46" s="1" t="s">
        <v>1630</v>
      </c>
      <c r="E46" s="1" t="s">
        <v>1634</v>
      </c>
    </row>
    <row r="47" spans="1:8" x14ac:dyDescent="0.2">
      <c r="B47" s="1" t="s">
        <v>1631</v>
      </c>
      <c r="E47" s="1" t="s">
        <v>1188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4A349-51FD-B348-838A-FEF8228C1855}">
  <dimension ref="A1:H106"/>
  <sheetViews>
    <sheetView rightToLeft="1" topLeftCell="A30" zoomScale="220" workbookViewId="0">
      <selection activeCell="C29" sqref="C29"/>
    </sheetView>
  </sheetViews>
  <sheetFormatPr baseColWidth="10" defaultRowHeight="16" x14ac:dyDescent="0.2"/>
  <cols>
    <col min="1" max="1" width="32.83203125" customWidth="1"/>
  </cols>
  <sheetData>
    <row r="1" spans="1:7" x14ac:dyDescent="0.2">
      <c r="A1" s="1" t="s">
        <v>1636</v>
      </c>
    </row>
    <row r="4" spans="1:7" s="1" customFormat="1" x14ac:dyDescent="0.2">
      <c r="A4" s="1" t="s">
        <v>1659</v>
      </c>
    </row>
    <row r="5" spans="1:7" s="1" customFormat="1" x14ac:dyDescent="0.2">
      <c r="A5" s="1" t="s">
        <v>1660</v>
      </c>
    </row>
    <row r="6" spans="1:7" s="1" customFormat="1" x14ac:dyDescent="0.2"/>
    <row r="7" spans="1:7" s="1" customFormat="1" x14ac:dyDescent="0.2">
      <c r="A7" s="1" t="s">
        <v>1492</v>
      </c>
    </row>
    <row r="8" spans="1:7" s="1" customFormat="1" x14ac:dyDescent="0.2">
      <c r="A8" s="1" t="s">
        <v>1493</v>
      </c>
    </row>
    <row r="9" spans="1:7" s="1" customFormat="1" x14ac:dyDescent="0.2"/>
    <row r="10" spans="1:7" s="1" customFormat="1" ht="34" x14ac:dyDescent="0.2">
      <c r="A10" s="1" t="s">
        <v>9</v>
      </c>
      <c r="B10" s="30" t="s">
        <v>1473</v>
      </c>
      <c r="C10" s="1" t="s">
        <v>6</v>
      </c>
      <c r="D10" s="1" t="s">
        <v>7</v>
      </c>
      <c r="E10" s="1" t="s">
        <v>124</v>
      </c>
      <c r="F10" s="1" t="s">
        <v>4</v>
      </c>
      <c r="G10" s="1" t="s">
        <v>5</v>
      </c>
    </row>
    <row r="11" spans="1:7" s="1" customFormat="1" x14ac:dyDescent="0.2">
      <c r="A11" s="1" t="s">
        <v>1474</v>
      </c>
      <c r="B11" s="23">
        <v>406971</v>
      </c>
    </row>
    <row r="12" spans="1:7" s="1" customFormat="1" x14ac:dyDescent="0.2">
      <c r="A12" s="1" t="s">
        <v>12</v>
      </c>
      <c r="B12" s="23">
        <v>107865</v>
      </c>
    </row>
    <row r="13" spans="1:7" s="1" customFormat="1" x14ac:dyDescent="0.2">
      <c r="A13" s="1" t="s">
        <v>1639</v>
      </c>
      <c r="B13" s="23">
        <v>17000</v>
      </c>
    </row>
    <row r="14" spans="1:7" s="1" customFormat="1" x14ac:dyDescent="0.2">
      <c r="A14" s="1" t="s">
        <v>1475</v>
      </c>
      <c r="B14" s="23">
        <v>206764</v>
      </c>
    </row>
    <row r="15" spans="1:7" s="1" customFormat="1" x14ac:dyDescent="0.2">
      <c r="A15" s="1" t="s">
        <v>1476</v>
      </c>
      <c r="B15" s="23">
        <v>68294</v>
      </c>
    </row>
    <row r="16" spans="1:7" s="1" customFormat="1" x14ac:dyDescent="0.2">
      <c r="A16" s="1" t="s">
        <v>16</v>
      </c>
      <c r="B16" s="23">
        <v>60701</v>
      </c>
    </row>
    <row r="17" spans="1:2" s="1" customFormat="1" x14ac:dyDescent="0.2">
      <c r="A17" s="1" t="s">
        <v>1637</v>
      </c>
      <c r="B17" s="23">
        <v>12000</v>
      </c>
    </row>
    <row r="18" spans="1:2" s="1" customFormat="1" x14ac:dyDescent="0.2">
      <c r="A18" s="1" t="s">
        <v>1477</v>
      </c>
      <c r="B18" s="23">
        <v>5000000</v>
      </c>
    </row>
    <row r="19" spans="1:2" s="1" customFormat="1" x14ac:dyDescent="0.2">
      <c r="A19" s="1" t="s">
        <v>1478</v>
      </c>
      <c r="B19" s="23">
        <v>233207</v>
      </c>
    </row>
    <row r="20" spans="1:2" s="1" customFormat="1" x14ac:dyDescent="0.2">
      <c r="A20" s="1" t="s">
        <v>1449</v>
      </c>
      <c r="B20" s="23">
        <v>11000</v>
      </c>
    </row>
    <row r="21" spans="1:2" s="1" customFormat="1" x14ac:dyDescent="0.2">
      <c r="A21" s="1" t="s">
        <v>14</v>
      </c>
      <c r="B21" s="23">
        <v>271469</v>
      </c>
    </row>
    <row r="22" spans="1:2" s="1" customFormat="1" x14ac:dyDescent="0.2">
      <c r="A22" s="1" t="s">
        <v>1479</v>
      </c>
      <c r="B22" s="23">
        <v>14000</v>
      </c>
    </row>
    <row r="23" spans="1:2" s="1" customFormat="1" x14ac:dyDescent="0.2">
      <c r="A23" s="1" t="s">
        <v>1638</v>
      </c>
      <c r="B23" s="23">
        <v>80000</v>
      </c>
    </row>
    <row r="24" spans="1:2" s="1" customFormat="1" x14ac:dyDescent="0.2">
      <c r="A24" s="1" t="s">
        <v>24</v>
      </c>
      <c r="B24" s="23">
        <v>384935</v>
      </c>
    </row>
    <row r="25" spans="1:2" s="1" customFormat="1" x14ac:dyDescent="0.2">
      <c r="A25" s="1" t="s">
        <v>15</v>
      </c>
      <c r="B25" s="23">
        <v>177214</v>
      </c>
    </row>
    <row r="26" spans="1:2" s="1" customFormat="1" x14ac:dyDescent="0.2">
      <c r="A26" s="1" t="s">
        <v>1480</v>
      </c>
      <c r="B26" s="23">
        <v>494068</v>
      </c>
    </row>
    <row r="27" spans="1:2" s="1" customFormat="1" x14ac:dyDescent="0.2">
      <c r="A27" s="1" t="s">
        <v>1481</v>
      </c>
      <c r="B27" s="23">
        <v>96879</v>
      </c>
    </row>
    <row r="28" spans="1:2" s="1" customFormat="1" x14ac:dyDescent="0.2">
      <c r="A28" s="1" t="s">
        <v>1482</v>
      </c>
      <c r="B28" s="23">
        <v>385915</v>
      </c>
    </row>
    <row r="29" spans="1:2" s="1" customFormat="1" x14ac:dyDescent="0.2">
      <c r="A29" s="1" t="s">
        <v>1483</v>
      </c>
      <c r="B29" s="23">
        <v>356675</v>
      </c>
    </row>
    <row r="30" spans="1:2" s="1" customFormat="1" x14ac:dyDescent="0.2">
      <c r="A30" s="1" t="s">
        <v>1484</v>
      </c>
      <c r="B30" s="23">
        <v>900000</v>
      </c>
    </row>
    <row r="31" spans="1:2" s="1" customFormat="1" x14ac:dyDescent="0.2">
      <c r="A31" s="1" t="s">
        <v>1640</v>
      </c>
      <c r="B31" s="23">
        <v>26223</v>
      </c>
    </row>
    <row r="32" spans="1:2" s="1" customFormat="1" x14ac:dyDescent="0.2">
      <c r="A32" s="1" t="s">
        <v>1647</v>
      </c>
      <c r="B32" s="191" t="s">
        <v>26</v>
      </c>
    </row>
    <row r="33" spans="1:2" s="1" customFormat="1" x14ac:dyDescent="0.2">
      <c r="A33" s="1" t="s">
        <v>19</v>
      </c>
      <c r="B33" s="23">
        <v>378948</v>
      </c>
    </row>
    <row r="34" spans="1:2" s="1" customFormat="1" x14ac:dyDescent="0.2">
      <c r="A34" s="1" t="s">
        <v>1485</v>
      </c>
      <c r="B34" s="23">
        <v>385795</v>
      </c>
    </row>
    <row r="35" spans="1:2" s="1" customFormat="1" x14ac:dyDescent="0.2">
      <c r="A35" s="1" t="s">
        <v>1486</v>
      </c>
      <c r="B35" s="23">
        <v>345777</v>
      </c>
    </row>
    <row r="36" spans="1:2" s="1" customFormat="1" x14ac:dyDescent="0.2">
      <c r="A36" s="1" t="s">
        <v>1192</v>
      </c>
      <c r="B36" s="23">
        <v>21000</v>
      </c>
    </row>
    <row r="37" spans="1:2" s="1" customFormat="1" x14ac:dyDescent="0.2">
      <c r="A37" s="1" t="s">
        <v>259</v>
      </c>
      <c r="B37" s="23">
        <v>200000</v>
      </c>
    </row>
    <row r="38" spans="1:2" s="1" customFormat="1" x14ac:dyDescent="0.2">
      <c r="A38" s="1" t="s">
        <v>1451</v>
      </c>
      <c r="B38" s="23">
        <v>70000</v>
      </c>
    </row>
    <row r="39" spans="1:2" s="1" customFormat="1" x14ac:dyDescent="0.2">
      <c r="A39" s="1" t="s">
        <v>1453</v>
      </c>
      <c r="B39" s="23">
        <v>12000</v>
      </c>
    </row>
    <row r="40" spans="1:2" s="1" customFormat="1" x14ac:dyDescent="0.2">
      <c r="A40" s="1" t="s">
        <v>1488</v>
      </c>
      <c r="B40" s="23">
        <v>13000</v>
      </c>
    </row>
    <row r="41" spans="1:2" s="1" customFormat="1" x14ac:dyDescent="0.2">
      <c r="A41" s="1" t="s">
        <v>1251</v>
      </c>
      <c r="B41" s="23">
        <v>19000</v>
      </c>
    </row>
    <row r="42" spans="1:2" s="1" customFormat="1" x14ac:dyDescent="0.2">
      <c r="A42" s="1" t="s">
        <v>1631</v>
      </c>
      <c r="B42" s="23">
        <v>6000</v>
      </c>
    </row>
    <row r="43" spans="1:2" s="1" customFormat="1" x14ac:dyDescent="0.2">
      <c r="A43" s="1" t="s">
        <v>261</v>
      </c>
      <c r="B43" s="23">
        <v>4000</v>
      </c>
    </row>
    <row r="44" spans="1:2" s="1" customFormat="1" x14ac:dyDescent="0.2">
      <c r="A44" s="1" t="s">
        <v>1489</v>
      </c>
      <c r="B44" s="23">
        <v>13000</v>
      </c>
    </row>
    <row r="45" spans="1:2" s="1" customFormat="1" x14ac:dyDescent="0.2">
      <c r="A45" s="1" t="s">
        <v>1490</v>
      </c>
      <c r="B45" s="23">
        <v>800000</v>
      </c>
    </row>
    <row r="46" spans="1:2" s="1" customFormat="1" x14ac:dyDescent="0.2">
      <c r="A46" s="1" t="s">
        <v>1641</v>
      </c>
      <c r="B46" s="23">
        <v>30000</v>
      </c>
    </row>
    <row r="47" spans="1:2" s="1" customFormat="1" x14ac:dyDescent="0.2">
      <c r="A47" s="1" t="s">
        <v>1446</v>
      </c>
      <c r="B47" s="23">
        <v>20000</v>
      </c>
    </row>
    <row r="48" spans="1:2" s="1" customFormat="1" x14ac:dyDescent="0.2">
      <c r="A48" s="1" t="s">
        <v>1491</v>
      </c>
      <c r="B48" s="23">
        <v>22000</v>
      </c>
    </row>
    <row r="49" spans="1:8" s="1" customFormat="1" x14ac:dyDescent="0.2">
      <c r="A49" s="1" t="s">
        <v>1642</v>
      </c>
      <c r="B49" s="23">
        <v>20000</v>
      </c>
    </row>
    <row r="50" spans="1:8" s="1" customFormat="1" x14ac:dyDescent="0.2">
      <c r="A50" s="1" t="s">
        <v>1237</v>
      </c>
      <c r="B50" s="23">
        <v>32000</v>
      </c>
    </row>
    <row r="51" spans="1:8" s="1" customFormat="1" x14ac:dyDescent="0.2">
      <c r="A51" s="1" t="s">
        <v>1250</v>
      </c>
      <c r="B51" s="23">
        <v>11000</v>
      </c>
    </row>
    <row r="53" spans="1:8" x14ac:dyDescent="0.2">
      <c r="A53" s="1" t="s">
        <v>1643</v>
      </c>
    </row>
    <row r="54" spans="1:8" x14ac:dyDescent="0.2">
      <c r="A54" s="1" t="s">
        <v>1644</v>
      </c>
    </row>
    <row r="55" spans="1:8" x14ac:dyDescent="0.2">
      <c r="A55" s="1" t="s">
        <v>1645</v>
      </c>
    </row>
    <row r="56" spans="1:8" x14ac:dyDescent="0.2">
      <c r="A56" s="1" t="s">
        <v>1646</v>
      </c>
    </row>
    <row r="57" spans="1:8" x14ac:dyDescent="0.2">
      <c r="A57" s="1" t="s">
        <v>1657</v>
      </c>
    </row>
    <row r="58" spans="1:8" x14ac:dyDescent="0.2">
      <c r="A58" s="1" t="s">
        <v>1658</v>
      </c>
    </row>
    <row r="59" spans="1:8" x14ac:dyDescent="0.2">
      <c r="A59" s="1"/>
    </row>
    <row r="60" spans="1:8" s="1" customFormat="1" ht="34" x14ac:dyDescent="0.2">
      <c r="A60" s="1" t="s">
        <v>9</v>
      </c>
      <c r="B60" s="30" t="s">
        <v>1473</v>
      </c>
      <c r="C60" s="1" t="s">
        <v>6</v>
      </c>
      <c r="D60" s="1" t="s">
        <v>7</v>
      </c>
      <c r="E60" s="1" t="s">
        <v>124</v>
      </c>
      <c r="F60" s="1" t="s">
        <v>4</v>
      </c>
      <c r="G60" s="1" t="s">
        <v>5</v>
      </c>
    </row>
    <row r="61" spans="1:8" s="1" customFormat="1" x14ac:dyDescent="0.2">
      <c r="A61" s="1" t="s">
        <v>1474</v>
      </c>
      <c r="B61" s="23">
        <v>406971</v>
      </c>
      <c r="C61" s="23">
        <f>B61</f>
        <v>406971</v>
      </c>
    </row>
    <row r="62" spans="1:8" s="1" customFormat="1" x14ac:dyDescent="0.2">
      <c r="A62" s="1" t="s">
        <v>12</v>
      </c>
      <c r="B62" s="23">
        <v>107865</v>
      </c>
      <c r="C62" s="23">
        <f>B62</f>
        <v>107865</v>
      </c>
    </row>
    <row r="63" spans="1:8" s="1" customFormat="1" x14ac:dyDescent="0.2">
      <c r="A63" s="1" t="s">
        <v>1639</v>
      </c>
      <c r="B63" s="23">
        <v>17000</v>
      </c>
      <c r="F63" s="23"/>
      <c r="G63" s="23">
        <f>-B63</f>
        <v>-17000</v>
      </c>
      <c r="H63" s="1" t="s">
        <v>1650</v>
      </c>
    </row>
    <row r="64" spans="1:8" s="1" customFormat="1" x14ac:dyDescent="0.2">
      <c r="A64" s="1" t="s">
        <v>1475</v>
      </c>
      <c r="B64" s="23">
        <v>206764</v>
      </c>
      <c r="C64" s="23">
        <f>B64</f>
        <v>206764</v>
      </c>
    </row>
    <row r="65" spans="1:8" s="1" customFormat="1" x14ac:dyDescent="0.2">
      <c r="A65" s="1" t="s">
        <v>1476</v>
      </c>
      <c r="B65" s="23">
        <v>68294</v>
      </c>
      <c r="C65" s="23">
        <f>B65</f>
        <v>68294</v>
      </c>
    </row>
    <row r="66" spans="1:8" s="1" customFormat="1" x14ac:dyDescent="0.2">
      <c r="A66" s="1" t="s">
        <v>16</v>
      </c>
      <c r="B66" s="23">
        <v>60701</v>
      </c>
      <c r="D66" s="23">
        <f>B66</f>
        <v>60701</v>
      </c>
    </row>
    <row r="67" spans="1:8" s="1" customFormat="1" x14ac:dyDescent="0.2">
      <c r="A67" s="1" t="s">
        <v>1637</v>
      </c>
      <c r="B67" s="23">
        <v>12000</v>
      </c>
      <c r="G67" s="23">
        <f>B67</f>
        <v>12000</v>
      </c>
      <c r="H67" s="1" t="s">
        <v>1649</v>
      </c>
    </row>
    <row r="68" spans="1:8" s="1" customFormat="1" x14ac:dyDescent="0.2">
      <c r="A68" s="1" t="s">
        <v>1477</v>
      </c>
      <c r="B68" s="23">
        <v>5000000</v>
      </c>
      <c r="C68" s="23">
        <f>B68</f>
        <v>5000000</v>
      </c>
    </row>
    <row r="69" spans="1:8" s="1" customFormat="1" x14ac:dyDescent="0.2">
      <c r="A69" s="1" t="s">
        <v>1478</v>
      </c>
      <c r="B69" s="23">
        <v>233207</v>
      </c>
      <c r="D69" s="23">
        <f>B69</f>
        <v>233207</v>
      </c>
    </row>
    <row r="70" spans="1:8" s="1" customFormat="1" x14ac:dyDescent="0.2">
      <c r="A70" s="1" t="s">
        <v>1449</v>
      </c>
      <c r="B70" s="23">
        <v>11000</v>
      </c>
      <c r="G70" s="23">
        <f>B70</f>
        <v>11000</v>
      </c>
      <c r="H70" s="1" t="s">
        <v>1649</v>
      </c>
    </row>
    <row r="71" spans="1:8" s="1" customFormat="1" x14ac:dyDescent="0.2">
      <c r="A71" s="1" t="s">
        <v>14</v>
      </c>
      <c r="B71" s="23">
        <v>271469</v>
      </c>
      <c r="C71" s="23">
        <f>B71</f>
        <v>271469</v>
      </c>
    </row>
    <row r="72" spans="1:8" s="1" customFormat="1" x14ac:dyDescent="0.2">
      <c r="A72" s="1" t="s">
        <v>1479</v>
      </c>
      <c r="B72" s="23">
        <v>14000</v>
      </c>
      <c r="G72" s="23">
        <f>B72</f>
        <v>14000</v>
      </c>
      <c r="H72" s="1" t="s">
        <v>1649</v>
      </c>
    </row>
    <row r="73" spans="1:8" s="1" customFormat="1" x14ac:dyDescent="0.2">
      <c r="A73" s="1" t="s">
        <v>1632</v>
      </c>
      <c r="B73" s="23">
        <v>80000</v>
      </c>
      <c r="F73" s="23">
        <f>B73</f>
        <v>80000</v>
      </c>
      <c r="H73" s="1" t="s">
        <v>1648</v>
      </c>
    </row>
    <row r="74" spans="1:8" s="1" customFormat="1" x14ac:dyDescent="0.2">
      <c r="A74" s="1" t="s">
        <v>24</v>
      </c>
      <c r="B74" s="23">
        <v>384935</v>
      </c>
      <c r="E74" s="23">
        <f>B74</f>
        <v>384935</v>
      </c>
    </row>
    <row r="75" spans="1:8" s="1" customFormat="1" x14ac:dyDescent="0.2">
      <c r="A75" s="1" t="s">
        <v>15</v>
      </c>
      <c r="B75" s="23">
        <v>177214</v>
      </c>
      <c r="C75" s="23">
        <f>B75</f>
        <v>177214</v>
      </c>
    </row>
    <row r="76" spans="1:8" s="1" customFormat="1" x14ac:dyDescent="0.2">
      <c r="A76" s="1" t="s">
        <v>1480</v>
      </c>
      <c r="B76" s="23">
        <v>494068</v>
      </c>
      <c r="C76" s="23">
        <f>B76</f>
        <v>494068</v>
      </c>
    </row>
    <row r="77" spans="1:8" s="1" customFormat="1" x14ac:dyDescent="0.2">
      <c r="A77" s="1" t="s">
        <v>1481</v>
      </c>
      <c r="B77" s="23">
        <v>96879</v>
      </c>
      <c r="D77" s="23">
        <f>B77</f>
        <v>96879</v>
      </c>
    </row>
    <row r="78" spans="1:8" s="1" customFormat="1" x14ac:dyDescent="0.2">
      <c r="A78" s="1" t="s">
        <v>1482</v>
      </c>
      <c r="B78" s="23">
        <v>385915</v>
      </c>
      <c r="D78" s="23">
        <f>B78</f>
        <v>385915</v>
      </c>
    </row>
    <row r="79" spans="1:8" s="1" customFormat="1" x14ac:dyDescent="0.2">
      <c r="A79" s="1" t="s">
        <v>1483</v>
      </c>
      <c r="B79" s="23">
        <v>356675</v>
      </c>
      <c r="D79" s="23">
        <f>B79</f>
        <v>356675</v>
      </c>
    </row>
    <row r="80" spans="1:8" s="1" customFormat="1" x14ac:dyDescent="0.2">
      <c r="A80" s="1" t="s">
        <v>1484</v>
      </c>
      <c r="B80" s="23">
        <v>900000</v>
      </c>
      <c r="C80" s="23">
        <f>B80</f>
        <v>900000</v>
      </c>
    </row>
    <row r="81" spans="1:8" s="1" customFormat="1" x14ac:dyDescent="0.2">
      <c r="A81" s="1" t="s">
        <v>1640</v>
      </c>
      <c r="B81" s="23">
        <v>26223</v>
      </c>
      <c r="C81" s="23">
        <f>-B81</f>
        <v>-26223</v>
      </c>
      <c r="H81" s="1" t="s">
        <v>1651</v>
      </c>
    </row>
    <row r="82" spans="1:8" s="1" customFormat="1" x14ac:dyDescent="0.2">
      <c r="A82" s="1" t="s">
        <v>1647</v>
      </c>
      <c r="B82" s="191" t="s">
        <v>26</v>
      </c>
      <c r="E82" s="44" t="str">
        <f>B82</f>
        <v>?</v>
      </c>
    </row>
    <row r="83" spans="1:8" s="1" customFormat="1" x14ac:dyDescent="0.2">
      <c r="A83" s="1" t="s">
        <v>19</v>
      </c>
      <c r="B83" s="23">
        <v>378948</v>
      </c>
      <c r="C83" s="23">
        <f>B83</f>
        <v>378948</v>
      </c>
    </row>
    <row r="84" spans="1:8" s="1" customFormat="1" x14ac:dyDescent="0.2">
      <c r="A84" s="1" t="s">
        <v>1485</v>
      </c>
      <c r="B84" s="23">
        <v>385795</v>
      </c>
      <c r="C84" s="23">
        <f>B84</f>
        <v>385795</v>
      </c>
    </row>
    <row r="85" spans="1:8" s="1" customFormat="1" x14ac:dyDescent="0.2">
      <c r="A85" s="1" t="s">
        <v>1486</v>
      </c>
      <c r="B85" s="23">
        <v>345777</v>
      </c>
      <c r="C85" s="23">
        <f>B85</f>
        <v>345777</v>
      </c>
    </row>
    <row r="86" spans="1:8" s="1" customFormat="1" x14ac:dyDescent="0.2">
      <c r="A86" s="1" t="s">
        <v>1192</v>
      </c>
      <c r="B86" s="23">
        <v>21000</v>
      </c>
      <c r="F86" s="23">
        <f>-B86</f>
        <v>-21000</v>
      </c>
      <c r="H86" s="1" t="s">
        <v>1652</v>
      </c>
    </row>
    <row r="87" spans="1:8" s="1" customFormat="1" x14ac:dyDescent="0.2">
      <c r="A87" s="1" t="s">
        <v>259</v>
      </c>
      <c r="B87" s="23">
        <v>200000</v>
      </c>
      <c r="G87" s="23">
        <f t="shared" ref="G87:G94" si="0">B87</f>
        <v>200000</v>
      </c>
      <c r="H87" s="1" t="s">
        <v>1653</v>
      </c>
    </row>
    <row r="88" spans="1:8" s="1" customFormat="1" x14ac:dyDescent="0.2">
      <c r="A88" s="1" t="s">
        <v>1451</v>
      </c>
      <c r="B88" s="23">
        <v>70000</v>
      </c>
      <c r="G88" s="23">
        <f t="shared" si="0"/>
        <v>70000</v>
      </c>
      <c r="H88" s="1" t="s">
        <v>1649</v>
      </c>
    </row>
    <row r="89" spans="1:8" s="1" customFormat="1" x14ac:dyDescent="0.2">
      <c r="A89" s="1" t="s">
        <v>1453</v>
      </c>
      <c r="B89" s="23">
        <v>12000</v>
      </c>
      <c r="G89" s="23">
        <f t="shared" si="0"/>
        <v>12000</v>
      </c>
      <c r="H89" s="1" t="s">
        <v>1188</v>
      </c>
    </row>
    <row r="90" spans="1:8" s="1" customFormat="1" x14ac:dyDescent="0.2">
      <c r="A90" s="1" t="s">
        <v>1488</v>
      </c>
      <c r="B90" s="23">
        <v>13000</v>
      </c>
      <c r="G90" s="23">
        <f t="shared" si="0"/>
        <v>13000</v>
      </c>
      <c r="H90" s="1" t="s">
        <v>1649</v>
      </c>
    </row>
    <row r="91" spans="1:8" s="1" customFormat="1" x14ac:dyDescent="0.2">
      <c r="A91" s="1" t="s">
        <v>1251</v>
      </c>
      <c r="B91" s="23">
        <v>19000</v>
      </c>
      <c r="G91" s="23">
        <f t="shared" si="0"/>
        <v>19000</v>
      </c>
      <c r="H91" s="1" t="s">
        <v>1550</v>
      </c>
    </row>
    <row r="92" spans="1:8" s="1" customFormat="1" x14ac:dyDescent="0.2">
      <c r="A92" s="1" t="s">
        <v>1631</v>
      </c>
      <c r="B92" s="23">
        <v>6000</v>
      </c>
      <c r="G92" s="23">
        <f t="shared" si="0"/>
        <v>6000</v>
      </c>
      <c r="H92" s="1" t="s">
        <v>1654</v>
      </c>
    </row>
    <row r="93" spans="1:8" s="1" customFormat="1" x14ac:dyDescent="0.2">
      <c r="A93" s="1" t="s">
        <v>261</v>
      </c>
      <c r="B93" s="23">
        <v>4000</v>
      </c>
      <c r="G93" s="23">
        <f t="shared" si="0"/>
        <v>4000</v>
      </c>
      <c r="H93" s="1" t="s">
        <v>1550</v>
      </c>
    </row>
    <row r="94" spans="1:8" s="1" customFormat="1" x14ac:dyDescent="0.2">
      <c r="A94" s="1" t="s">
        <v>1489</v>
      </c>
      <c r="B94" s="23">
        <v>13000</v>
      </c>
      <c r="G94" s="23">
        <f t="shared" si="0"/>
        <v>13000</v>
      </c>
      <c r="H94" s="1" t="s">
        <v>1550</v>
      </c>
    </row>
    <row r="95" spans="1:8" s="1" customFormat="1" x14ac:dyDescent="0.2">
      <c r="A95" s="1" t="s">
        <v>1490</v>
      </c>
      <c r="B95" s="23">
        <v>800000</v>
      </c>
      <c r="F95" s="23">
        <f>B95</f>
        <v>800000</v>
      </c>
    </row>
    <row r="96" spans="1:8" s="1" customFormat="1" x14ac:dyDescent="0.2">
      <c r="A96" s="1" t="s">
        <v>1641</v>
      </c>
      <c r="B96" s="23">
        <v>30000</v>
      </c>
      <c r="G96" s="23">
        <f>B96</f>
        <v>30000</v>
      </c>
      <c r="H96" s="1" t="s">
        <v>1653</v>
      </c>
    </row>
    <row r="97" spans="1:8" s="1" customFormat="1" x14ac:dyDescent="0.2">
      <c r="A97" s="1" t="s">
        <v>1655</v>
      </c>
      <c r="B97" s="23">
        <v>20000</v>
      </c>
      <c r="F97" s="23">
        <f>B97</f>
        <v>20000</v>
      </c>
      <c r="H97" s="1" t="s">
        <v>1437</v>
      </c>
    </row>
    <row r="98" spans="1:8" s="1" customFormat="1" x14ac:dyDescent="0.2">
      <c r="A98" s="1" t="s">
        <v>1491</v>
      </c>
      <c r="B98" s="23">
        <v>22000</v>
      </c>
      <c r="G98" s="273">
        <f>B98</f>
        <v>22000</v>
      </c>
      <c r="H98" s="8" t="s">
        <v>1649</v>
      </c>
    </row>
    <row r="99" spans="1:8" s="1" customFormat="1" x14ac:dyDescent="0.2">
      <c r="A99" s="1" t="s">
        <v>1642</v>
      </c>
      <c r="B99" s="23">
        <v>20000</v>
      </c>
      <c r="C99" s="23">
        <f>B99</f>
        <v>20000</v>
      </c>
      <c r="G99" s="23">
        <f>-C99</f>
        <v>-20000</v>
      </c>
      <c r="H99" s="1" t="s">
        <v>1656</v>
      </c>
    </row>
    <row r="100" spans="1:8" s="1" customFormat="1" x14ac:dyDescent="0.2">
      <c r="A100" s="1" t="s">
        <v>1237</v>
      </c>
      <c r="B100" s="23">
        <v>32000</v>
      </c>
      <c r="G100" s="23">
        <f>B100</f>
        <v>32000</v>
      </c>
      <c r="H100" s="1" t="s">
        <v>1649</v>
      </c>
    </row>
    <row r="101" spans="1:8" s="1" customFormat="1" x14ac:dyDescent="0.2">
      <c r="A101" s="1" t="s">
        <v>1250</v>
      </c>
      <c r="B101" s="23">
        <v>11000</v>
      </c>
      <c r="F101" s="23">
        <f>B101</f>
        <v>11000</v>
      </c>
      <c r="H101" s="1" t="s">
        <v>1189</v>
      </c>
    </row>
    <row r="104" spans="1:8" x14ac:dyDescent="0.2">
      <c r="A104" s="110" t="s">
        <v>77</v>
      </c>
      <c r="B104" s="274" t="s">
        <v>1661</v>
      </c>
      <c r="C104" s="274"/>
      <c r="D104" s="274"/>
      <c r="E104" s="274"/>
    </row>
    <row r="105" spans="1:8" x14ac:dyDescent="0.2">
      <c r="A105" s="274"/>
      <c r="B105" s="274" t="s">
        <v>1662</v>
      </c>
      <c r="C105" s="274"/>
      <c r="D105" s="274"/>
      <c r="E105" s="274"/>
    </row>
    <row r="106" spans="1:8" x14ac:dyDescent="0.2">
      <c r="A106" s="274"/>
      <c r="B106" s="274" t="s">
        <v>1663</v>
      </c>
      <c r="C106" s="274"/>
      <c r="D106" s="274"/>
      <c r="E106" s="27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7C5E3-3E0E-D844-B972-09359065B735}">
  <dimension ref="A1:M306"/>
  <sheetViews>
    <sheetView rightToLeft="1" topLeftCell="A214" zoomScale="320" zoomScaleNormal="360" workbookViewId="0">
      <selection activeCell="F235" sqref="F235"/>
    </sheetView>
  </sheetViews>
  <sheetFormatPr baseColWidth="10" defaultRowHeight="16" x14ac:dyDescent="0.2"/>
  <cols>
    <col min="1" max="16384" width="10.83203125" style="1"/>
  </cols>
  <sheetData>
    <row r="1" spans="1:9" x14ac:dyDescent="0.2">
      <c r="A1" s="7" t="s">
        <v>3558</v>
      </c>
      <c r="B1" s="7"/>
      <c r="C1" s="7"/>
      <c r="D1" s="7"/>
      <c r="E1" s="7"/>
      <c r="F1" s="7"/>
      <c r="G1" s="7"/>
      <c r="H1" s="7"/>
      <c r="I1" s="250">
        <v>45973</v>
      </c>
    </row>
    <row r="2" spans="1:9" ht="17" thickBot="1" x14ac:dyDescent="0.25"/>
    <row r="3" spans="1:9" x14ac:dyDescent="0.2">
      <c r="A3" s="571" t="s">
        <v>3559</v>
      </c>
      <c r="B3" s="572"/>
      <c r="C3" s="572"/>
      <c r="D3" s="572"/>
      <c r="E3" s="572"/>
      <c r="F3" s="572"/>
      <c r="G3" s="572"/>
      <c r="H3" s="572"/>
      <c r="I3" s="573"/>
    </row>
    <row r="4" spans="1:9" x14ac:dyDescent="0.2">
      <c r="A4" s="574" t="s">
        <v>3560</v>
      </c>
      <c r="B4" s="537"/>
      <c r="C4" s="537"/>
      <c r="D4" s="537"/>
      <c r="E4" s="537"/>
      <c r="F4" s="537"/>
      <c r="G4" s="537"/>
      <c r="H4" s="537"/>
      <c r="I4" s="575"/>
    </row>
    <row r="5" spans="1:9" x14ac:dyDescent="0.2">
      <c r="A5" s="574" t="s">
        <v>3561</v>
      </c>
      <c r="B5" s="537"/>
      <c r="C5" s="537"/>
      <c r="D5" s="537"/>
      <c r="E5" s="537"/>
      <c r="F5" s="537"/>
      <c r="G5" s="537"/>
      <c r="H5" s="537"/>
      <c r="I5" s="575"/>
    </row>
    <row r="6" spans="1:9" x14ac:dyDescent="0.2">
      <c r="A6" s="574" t="s">
        <v>3562</v>
      </c>
      <c r="B6" s="537"/>
      <c r="C6" s="537"/>
      <c r="D6" s="537"/>
      <c r="E6" s="537"/>
      <c r="F6" s="537"/>
      <c r="G6" s="537"/>
      <c r="H6" s="537"/>
      <c r="I6" s="575"/>
    </row>
    <row r="7" spans="1:9" x14ac:dyDescent="0.2">
      <c r="A7" s="574" t="s">
        <v>3563</v>
      </c>
      <c r="B7" s="537"/>
      <c r="C7" s="537"/>
      <c r="D7" s="537"/>
      <c r="E7" s="537"/>
      <c r="F7" s="537"/>
      <c r="G7" s="537"/>
      <c r="H7" s="537"/>
      <c r="I7" s="575"/>
    </row>
    <row r="8" spans="1:9" x14ac:dyDescent="0.2">
      <c r="A8" s="574"/>
      <c r="B8" s="537"/>
      <c r="C8" s="537"/>
      <c r="D8" s="537"/>
      <c r="E8" s="537"/>
      <c r="F8" s="537"/>
      <c r="G8" s="537"/>
      <c r="H8" s="537"/>
      <c r="I8" s="575"/>
    </row>
    <row r="9" spans="1:9" ht="17" thickBot="1" x14ac:dyDescent="0.25">
      <c r="A9" s="576" t="s">
        <v>3578</v>
      </c>
      <c r="B9" s="577"/>
      <c r="C9" s="577"/>
      <c r="D9" s="577"/>
      <c r="E9" s="577"/>
      <c r="F9" s="577"/>
      <c r="G9" s="577"/>
      <c r="H9" s="577"/>
      <c r="I9" s="578"/>
    </row>
    <row r="11" spans="1:9" x14ac:dyDescent="0.2">
      <c r="A11" s="537" t="s">
        <v>3579</v>
      </c>
      <c r="B11" s="537"/>
      <c r="C11" s="537"/>
      <c r="D11" s="537"/>
      <c r="E11" s="537"/>
      <c r="F11" s="537"/>
      <c r="G11" s="537"/>
      <c r="H11" s="537"/>
      <c r="I11" s="537"/>
    </row>
    <row r="13" spans="1:9" x14ac:dyDescent="0.2">
      <c r="A13" s="85" t="s">
        <v>2940</v>
      </c>
      <c r="B13" s="16"/>
      <c r="C13" s="16"/>
      <c r="D13" s="16"/>
      <c r="E13" s="16"/>
      <c r="F13" s="16"/>
      <c r="G13" s="16"/>
      <c r="H13" s="16"/>
      <c r="I13" s="16"/>
    </row>
    <row r="15" spans="1:9" x14ac:dyDescent="0.2">
      <c r="A15" s="1" t="s">
        <v>2363</v>
      </c>
    </row>
    <row r="17" spans="1:9" x14ac:dyDescent="0.2">
      <c r="A17" s="6" t="s">
        <v>77</v>
      </c>
      <c r="B17" s="1" t="s">
        <v>2364</v>
      </c>
      <c r="F17" s="6" t="s">
        <v>69</v>
      </c>
    </row>
    <row r="18" spans="1:9" x14ac:dyDescent="0.2">
      <c r="A18" s="6" t="s">
        <v>79</v>
      </c>
      <c r="B18" s="1" t="s">
        <v>2365</v>
      </c>
      <c r="F18" s="6" t="s">
        <v>70</v>
      </c>
    </row>
    <row r="19" spans="1:9" x14ac:dyDescent="0.2">
      <c r="B19" s="2" t="s">
        <v>2366</v>
      </c>
      <c r="C19" s="2"/>
      <c r="D19" s="2"/>
      <c r="E19" s="2"/>
      <c r="F19" s="410" t="s">
        <v>2367</v>
      </c>
    </row>
    <row r="21" spans="1:9" x14ac:dyDescent="0.2">
      <c r="A21" s="1" t="s">
        <v>2368</v>
      </c>
    </row>
    <row r="22" spans="1:9" x14ac:dyDescent="0.2">
      <c r="A22" s="1" t="s">
        <v>67</v>
      </c>
    </row>
    <row r="24" spans="1:9" x14ac:dyDescent="0.2">
      <c r="A24" s="1" t="s">
        <v>73</v>
      </c>
    </row>
    <row r="25" spans="1:9" ht="17" thickBot="1" x14ac:dyDescent="0.25"/>
    <row r="26" spans="1:9" x14ac:dyDescent="0.2">
      <c r="A26" s="180" t="s">
        <v>78</v>
      </c>
      <c r="B26" s="411"/>
      <c r="C26" s="411"/>
      <c r="D26" s="412"/>
      <c r="F26" s="180" t="s">
        <v>80</v>
      </c>
      <c r="G26" s="411"/>
      <c r="H26" s="100"/>
      <c r="I26" s="19"/>
    </row>
    <row r="27" spans="1:9" x14ac:dyDescent="0.2">
      <c r="A27" s="106" t="s">
        <v>74</v>
      </c>
      <c r="D27" s="62" t="s">
        <v>69</v>
      </c>
      <c r="F27" s="106" t="s">
        <v>81</v>
      </c>
      <c r="G27" s="6" t="s">
        <v>69</v>
      </c>
      <c r="H27" s="87" t="s">
        <v>2373</v>
      </c>
      <c r="I27" s="107"/>
    </row>
    <row r="28" spans="1:9" x14ac:dyDescent="0.2">
      <c r="A28" s="106" t="s">
        <v>75</v>
      </c>
      <c r="D28" s="62" t="s">
        <v>70</v>
      </c>
      <c r="F28" s="414" t="s">
        <v>82</v>
      </c>
      <c r="G28" s="157" t="s">
        <v>69</v>
      </c>
      <c r="H28" s="87" t="s">
        <v>2374</v>
      </c>
      <c r="I28" s="107"/>
    </row>
    <row r="29" spans="1:9" x14ac:dyDescent="0.2">
      <c r="A29" s="106" t="s">
        <v>2372</v>
      </c>
      <c r="D29" s="62" t="s">
        <v>70</v>
      </c>
      <c r="F29" s="106" t="s">
        <v>83</v>
      </c>
      <c r="G29" s="6" t="s">
        <v>70</v>
      </c>
      <c r="H29" s="87" t="s">
        <v>2375</v>
      </c>
      <c r="I29" s="107"/>
    </row>
    <row r="30" spans="1:9" ht="17" thickBot="1" x14ac:dyDescent="0.25">
      <c r="A30" s="20" t="s">
        <v>76</v>
      </c>
      <c r="B30" s="103"/>
      <c r="C30" s="103"/>
      <c r="D30" s="413" t="s">
        <v>72</v>
      </c>
      <c r="F30" s="20" t="s">
        <v>84</v>
      </c>
      <c r="G30" s="158" t="s">
        <v>72</v>
      </c>
      <c r="H30" s="158"/>
      <c r="I30" s="21"/>
    </row>
    <row r="32" spans="1:9" ht="17" thickBot="1" x14ac:dyDescent="0.25">
      <c r="A32" s="1" t="s">
        <v>2369</v>
      </c>
    </row>
    <row r="33" spans="1:9" x14ac:dyDescent="0.2">
      <c r="A33" s="1" t="s">
        <v>2370</v>
      </c>
      <c r="F33" s="18" t="s">
        <v>85</v>
      </c>
      <c r="G33" s="19"/>
    </row>
    <row r="34" spans="1:9" ht="17" thickBot="1" x14ac:dyDescent="0.25">
      <c r="A34" s="1" t="s">
        <v>2371</v>
      </c>
      <c r="F34" s="20" t="s">
        <v>86</v>
      </c>
      <c r="G34" s="21"/>
    </row>
    <row r="35" spans="1:9" x14ac:dyDescent="0.2">
      <c r="I35" s="1" t="s">
        <v>2376</v>
      </c>
    </row>
    <row r="36" spans="1:9" ht="17" thickBot="1" x14ac:dyDescent="0.25">
      <c r="I36" s="1">
        <v>400</v>
      </c>
    </row>
    <row r="37" spans="1:9" x14ac:dyDescent="0.2">
      <c r="F37" s="18" t="s">
        <v>87</v>
      </c>
      <c r="G37" s="19"/>
    </row>
    <row r="38" spans="1:9" ht="17" thickBot="1" x14ac:dyDescent="0.25">
      <c r="F38" s="20" t="s">
        <v>88</v>
      </c>
      <c r="G38" s="21"/>
    </row>
    <row r="40" spans="1:9" ht="17" thickBot="1" x14ac:dyDescent="0.25"/>
    <row r="41" spans="1:9" x14ac:dyDescent="0.2">
      <c r="A41" s="1" t="s">
        <v>92</v>
      </c>
      <c r="F41" s="18" t="s">
        <v>87</v>
      </c>
      <c r="G41" s="19"/>
    </row>
    <row r="42" spans="1:9" ht="17" thickBot="1" x14ac:dyDescent="0.25">
      <c r="D42" s="1" t="s">
        <v>93</v>
      </c>
      <c r="F42" s="20" t="s">
        <v>89</v>
      </c>
      <c r="G42" s="21"/>
      <c r="I42" s="1" t="s">
        <v>2377</v>
      </c>
    </row>
    <row r="43" spans="1:9" x14ac:dyDescent="0.2">
      <c r="A43" s="1" t="s">
        <v>94</v>
      </c>
    </row>
    <row r="44" spans="1:9" ht="17" thickBot="1" x14ac:dyDescent="0.25">
      <c r="B44" s="1" t="s">
        <v>81</v>
      </c>
      <c r="C44" s="1">
        <v>100</v>
      </c>
    </row>
    <row r="45" spans="1:9" x14ac:dyDescent="0.2">
      <c r="B45" s="1" t="s">
        <v>82</v>
      </c>
      <c r="C45" s="1">
        <v>300</v>
      </c>
      <c r="F45" s="18" t="s">
        <v>90</v>
      </c>
      <c r="G45" s="19"/>
    </row>
    <row r="46" spans="1:9" ht="17" thickBot="1" x14ac:dyDescent="0.25">
      <c r="B46" s="1" t="s">
        <v>83</v>
      </c>
      <c r="C46" s="23">
        <v>-120</v>
      </c>
      <c r="F46" s="20" t="s">
        <v>91</v>
      </c>
      <c r="G46" s="21"/>
    </row>
    <row r="47" spans="1:9" ht="17" thickBot="1" x14ac:dyDescent="0.25">
      <c r="B47" s="1" t="s">
        <v>95</v>
      </c>
      <c r="C47" s="22">
        <f>SUM(C44:C46)</f>
        <v>280</v>
      </c>
    </row>
    <row r="50" spans="1:6" x14ac:dyDescent="0.2">
      <c r="A50" s="1" t="s">
        <v>96</v>
      </c>
    </row>
    <row r="51" spans="1:6" ht="17" thickBot="1" x14ac:dyDescent="0.25"/>
    <row r="52" spans="1:6" x14ac:dyDescent="0.2">
      <c r="B52" s="415" t="s">
        <v>97</v>
      </c>
      <c r="C52" s="100"/>
      <c r="D52" s="100"/>
      <c r="E52" s="19"/>
    </row>
    <row r="53" spans="1:6" x14ac:dyDescent="0.2">
      <c r="B53" s="106" t="s">
        <v>98</v>
      </c>
      <c r="D53" s="6" t="s">
        <v>69</v>
      </c>
      <c r="E53" s="107" t="s">
        <v>2378</v>
      </c>
    </row>
    <row r="54" spans="1:6" x14ac:dyDescent="0.2">
      <c r="B54" s="106" t="s">
        <v>99</v>
      </c>
      <c r="D54" s="6" t="s">
        <v>69</v>
      </c>
      <c r="E54" s="107"/>
    </row>
    <row r="55" spans="1:6" x14ac:dyDescent="0.2">
      <c r="B55" s="106" t="s">
        <v>100</v>
      </c>
      <c r="D55" s="6" t="s">
        <v>70</v>
      </c>
      <c r="E55" s="107"/>
    </row>
    <row r="56" spans="1:6" ht="17" thickBot="1" x14ac:dyDescent="0.25">
      <c r="B56" s="106" t="s">
        <v>103</v>
      </c>
      <c r="D56" s="6" t="s">
        <v>70</v>
      </c>
      <c r="E56" s="107" t="s">
        <v>102</v>
      </c>
      <c r="F56" s="1" t="s">
        <v>2379</v>
      </c>
    </row>
    <row r="57" spans="1:6" ht="17" thickBot="1" x14ac:dyDescent="0.25">
      <c r="B57" s="20" t="s">
        <v>104</v>
      </c>
      <c r="C57" s="103"/>
      <c r="D57" s="17" t="s">
        <v>72</v>
      </c>
      <c r="E57" s="21"/>
      <c r="F57" s="1" t="s">
        <v>2380</v>
      </c>
    </row>
    <row r="59" spans="1:6" x14ac:dyDescent="0.2">
      <c r="A59" s="2" t="s">
        <v>105</v>
      </c>
    </row>
    <row r="61" spans="1:6" x14ac:dyDescent="0.2">
      <c r="A61" s="25" t="s">
        <v>106</v>
      </c>
      <c r="B61" s="25"/>
      <c r="C61" s="25" t="s">
        <v>107</v>
      </c>
      <c r="E61" s="3" t="s">
        <v>111</v>
      </c>
    </row>
    <row r="62" spans="1:6" x14ac:dyDescent="0.2">
      <c r="A62" s="1" t="s">
        <v>98</v>
      </c>
      <c r="C62" s="27">
        <v>50000</v>
      </c>
      <c r="E62" s="1" t="s">
        <v>74</v>
      </c>
    </row>
    <row r="63" spans="1:6" x14ac:dyDescent="0.2">
      <c r="A63" s="1" t="s">
        <v>16</v>
      </c>
      <c r="C63" s="24">
        <v>4000</v>
      </c>
      <c r="E63" s="1" t="s">
        <v>114</v>
      </c>
    </row>
    <row r="64" spans="1:6" x14ac:dyDescent="0.2">
      <c r="A64" s="1" t="s">
        <v>100</v>
      </c>
      <c r="C64" s="27">
        <v>7000</v>
      </c>
      <c r="E64" s="1" t="s">
        <v>75</v>
      </c>
    </row>
    <row r="65" spans="1:11" x14ac:dyDescent="0.2">
      <c r="A65" s="1" t="s">
        <v>68</v>
      </c>
      <c r="C65" s="24">
        <v>200000</v>
      </c>
    </row>
    <row r="66" spans="1:11" x14ac:dyDescent="0.2">
      <c r="A66" s="1" t="s">
        <v>108</v>
      </c>
      <c r="C66" s="24">
        <v>3000</v>
      </c>
    </row>
    <row r="67" spans="1:11" x14ac:dyDescent="0.2">
      <c r="A67" s="1" t="s">
        <v>113</v>
      </c>
      <c r="C67" s="24">
        <v>2000</v>
      </c>
      <c r="E67" s="3" t="s">
        <v>112</v>
      </c>
    </row>
    <row r="68" spans="1:11" x14ac:dyDescent="0.2">
      <c r="A68" s="1" t="s">
        <v>109</v>
      </c>
      <c r="C68" s="24">
        <v>6000</v>
      </c>
      <c r="E68" s="1" t="s">
        <v>81</v>
      </c>
    </row>
    <row r="69" spans="1:11" x14ac:dyDescent="0.2">
      <c r="A69" s="1" t="s">
        <v>101</v>
      </c>
      <c r="C69" s="27">
        <v>1000</v>
      </c>
      <c r="E69" s="1" t="s">
        <v>118</v>
      </c>
    </row>
    <row r="70" spans="1:11" x14ac:dyDescent="0.2">
      <c r="A70" s="1" t="s">
        <v>110</v>
      </c>
      <c r="C70" s="27">
        <v>8000</v>
      </c>
      <c r="E70" s="1" t="s">
        <v>83</v>
      </c>
    </row>
    <row r="71" spans="1:11" x14ac:dyDescent="0.2">
      <c r="A71" s="1" t="s">
        <v>81</v>
      </c>
      <c r="C71" s="24">
        <v>10000</v>
      </c>
    </row>
    <row r="72" spans="1:11" x14ac:dyDescent="0.2">
      <c r="A72" s="1" t="s">
        <v>83</v>
      </c>
      <c r="C72" s="24">
        <v>12000</v>
      </c>
    </row>
    <row r="73" spans="1:11" ht="17" thickBot="1" x14ac:dyDescent="0.25"/>
    <row r="74" spans="1:11" x14ac:dyDescent="0.2">
      <c r="A74" s="180" t="s">
        <v>111</v>
      </c>
      <c r="B74" s="100"/>
      <c r="C74" s="19"/>
      <c r="E74" s="180" t="s">
        <v>112</v>
      </c>
      <c r="F74" s="100"/>
      <c r="G74" s="19"/>
    </row>
    <row r="75" spans="1:11" x14ac:dyDescent="0.2">
      <c r="A75" s="106" t="s">
        <v>68</v>
      </c>
      <c r="C75" s="268">
        <v>200000</v>
      </c>
      <c r="E75" s="106" t="s">
        <v>81</v>
      </c>
      <c r="G75" s="268">
        <f>C71</f>
        <v>10000</v>
      </c>
      <c r="H75" s="311"/>
      <c r="I75" s="12"/>
      <c r="J75" s="12"/>
    </row>
    <row r="76" spans="1:11" x14ac:dyDescent="0.2">
      <c r="A76" s="106" t="s">
        <v>115</v>
      </c>
      <c r="C76" s="264">
        <v>0</v>
      </c>
      <c r="E76" s="106" t="s">
        <v>82</v>
      </c>
      <c r="G76" s="421">
        <f>H85</f>
        <v>50000</v>
      </c>
      <c r="H76" s="311"/>
      <c r="I76" s="12"/>
      <c r="J76" s="12"/>
      <c r="K76" s="12" t="s">
        <v>119</v>
      </c>
    </row>
    <row r="77" spans="1:11" ht="17" thickBot="1" x14ac:dyDescent="0.25">
      <c r="A77" s="106" t="s">
        <v>116</v>
      </c>
      <c r="C77" s="264">
        <v>0</v>
      </c>
      <c r="E77" s="106" t="s">
        <v>2384</v>
      </c>
      <c r="G77" s="263">
        <f>-C72</f>
        <v>-12000</v>
      </c>
      <c r="H77" s="416"/>
      <c r="I77" s="12"/>
      <c r="J77" s="12"/>
    </row>
    <row r="78" spans="1:11" ht="17" thickBot="1" x14ac:dyDescent="0.25">
      <c r="A78" s="20" t="s">
        <v>117</v>
      </c>
      <c r="B78" s="103"/>
      <c r="C78" s="417">
        <f>C75</f>
        <v>200000</v>
      </c>
      <c r="E78" s="20" t="s">
        <v>120</v>
      </c>
      <c r="F78" s="103"/>
      <c r="G78" s="417">
        <f>SUM(G75:G77)</f>
        <v>48000</v>
      </c>
      <c r="H78" s="311"/>
      <c r="I78" s="12"/>
      <c r="J78" s="12"/>
    </row>
    <row r="79" spans="1:11" ht="17" thickBot="1" x14ac:dyDescent="0.25"/>
    <row r="80" spans="1:11" x14ac:dyDescent="0.2">
      <c r="A80" s="180" t="s">
        <v>121</v>
      </c>
      <c r="B80" s="100"/>
      <c r="C80" s="19"/>
      <c r="E80" s="180" t="s">
        <v>97</v>
      </c>
      <c r="F80" s="100"/>
      <c r="G80" s="100"/>
      <c r="H80" s="418"/>
    </row>
    <row r="81" spans="1:9" x14ac:dyDescent="0.2">
      <c r="A81" s="106" t="s">
        <v>122</v>
      </c>
      <c r="C81" s="268">
        <f>C78</f>
        <v>200000</v>
      </c>
      <c r="E81" s="106" t="s">
        <v>2381</v>
      </c>
      <c r="H81" s="419">
        <f>C62</f>
        <v>50000</v>
      </c>
    </row>
    <row r="82" spans="1:9" ht="17" thickBot="1" x14ac:dyDescent="0.25">
      <c r="A82" s="106" t="s">
        <v>123</v>
      </c>
      <c r="C82" s="263">
        <f>-G78</f>
        <v>-48000</v>
      </c>
      <c r="E82" s="106" t="s">
        <v>99</v>
      </c>
      <c r="H82" s="419">
        <f>C70</f>
        <v>8000</v>
      </c>
    </row>
    <row r="83" spans="1:9" ht="17" thickBot="1" x14ac:dyDescent="0.25">
      <c r="A83" s="20" t="s">
        <v>71</v>
      </c>
      <c r="B83" s="103"/>
      <c r="C83" s="417">
        <f>C81+C82</f>
        <v>152000</v>
      </c>
      <c r="E83" s="106" t="s">
        <v>2382</v>
      </c>
      <c r="H83" s="419">
        <f>-C64</f>
        <v>-7000</v>
      </c>
    </row>
    <row r="84" spans="1:9" x14ac:dyDescent="0.2">
      <c r="C84" s="311"/>
      <c r="E84" s="106" t="s">
        <v>2383</v>
      </c>
      <c r="H84" s="419">
        <f>-C69</f>
        <v>-1000</v>
      </c>
    </row>
    <row r="85" spans="1:9" ht="17" thickBot="1" x14ac:dyDescent="0.25">
      <c r="C85" s="311"/>
      <c r="E85" s="20" t="s">
        <v>82</v>
      </c>
      <c r="F85" s="103"/>
      <c r="G85" s="103"/>
      <c r="H85" s="420">
        <f>H81+H82+H83+H84</f>
        <v>50000</v>
      </c>
    </row>
    <row r="87" spans="1:9" ht="21" x14ac:dyDescent="0.25">
      <c r="A87" s="278" t="s">
        <v>1677</v>
      </c>
      <c r="B87" s="16"/>
      <c r="C87" s="16"/>
      <c r="D87" s="16"/>
      <c r="E87" s="16"/>
      <c r="F87" s="16"/>
      <c r="G87" s="16"/>
      <c r="H87" s="16"/>
      <c r="I87" s="16"/>
    </row>
    <row r="89" spans="1:9" x14ac:dyDescent="0.2">
      <c r="A89" s="1" t="s">
        <v>1664</v>
      </c>
    </row>
    <row r="90" spans="1:9" x14ac:dyDescent="0.2">
      <c r="A90" s="1" t="s">
        <v>1665</v>
      </c>
    </row>
    <row r="92" spans="1:9" x14ac:dyDescent="0.2">
      <c r="A92" s="1" t="s">
        <v>1666</v>
      </c>
    </row>
    <row r="93" spans="1:9" x14ac:dyDescent="0.2">
      <c r="A93" s="1" t="s">
        <v>1667</v>
      </c>
    </row>
    <row r="95" spans="1:9" x14ac:dyDescent="0.2">
      <c r="A95" s="1" t="s">
        <v>1668</v>
      </c>
    </row>
    <row r="96" spans="1:9" x14ac:dyDescent="0.2">
      <c r="A96" s="1" t="s">
        <v>1669</v>
      </c>
    </row>
    <row r="97" spans="1:13" ht="17" thickBot="1" x14ac:dyDescent="0.25"/>
    <row r="98" spans="1:13" ht="17" thickBot="1" x14ac:dyDescent="0.25">
      <c r="A98" s="835" t="s">
        <v>1675</v>
      </c>
      <c r="B98" s="836"/>
      <c r="C98" s="836"/>
      <c r="D98" s="836"/>
      <c r="E98" s="836"/>
      <c r="F98" s="836"/>
      <c r="G98" s="836"/>
      <c r="H98" s="836"/>
      <c r="I98" s="837"/>
    </row>
    <row r="100" spans="1:13" x14ac:dyDescent="0.2">
      <c r="A100" s="2" t="s">
        <v>1670</v>
      </c>
    </row>
    <row r="101" spans="1:13" x14ac:dyDescent="0.2">
      <c r="A101" s="2"/>
    </row>
    <row r="102" spans="1:13" ht="17" thickBot="1" x14ac:dyDescent="0.25">
      <c r="A102" s="1" t="s">
        <v>1671</v>
      </c>
    </row>
    <row r="103" spans="1:13" x14ac:dyDescent="0.2">
      <c r="H103" s="18"/>
      <c r="I103" s="100"/>
      <c r="J103" s="100"/>
      <c r="K103" s="100"/>
      <c r="L103" s="100"/>
      <c r="M103" s="19"/>
    </row>
    <row r="104" spans="1:13" x14ac:dyDescent="0.2">
      <c r="A104" s="2" t="s">
        <v>1672</v>
      </c>
      <c r="H104" s="579" t="s">
        <v>6</v>
      </c>
      <c r="I104" s="6" t="s">
        <v>72</v>
      </c>
      <c r="J104" s="563" t="s">
        <v>7</v>
      </c>
      <c r="K104" s="563" t="s">
        <v>124</v>
      </c>
      <c r="L104" s="563"/>
      <c r="M104" s="580"/>
    </row>
    <row r="105" spans="1:13" x14ac:dyDescent="0.2">
      <c r="A105" s="1" t="s">
        <v>1673</v>
      </c>
      <c r="H105" s="106"/>
      <c r="K105" s="1" t="s">
        <v>24</v>
      </c>
      <c r="L105" s="1" t="s">
        <v>2385</v>
      </c>
      <c r="M105" s="107" t="s">
        <v>138</v>
      </c>
    </row>
    <row r="106" spans="1:13" ht="17" thickBot="1" x14ac:dyDescent="0.25">
      <c r="A106" s="1" t="s">
        <v>1674</v>
      </c>
      <c r="H106" s="20"/>
      <c r="I106" s="103"/>
      <c r="J106" s="103"/>
      <c r="K106" s="103"/>
      <c r="L106" s="103"/>
      <c r="M106" s="21"/>
    </row>
    <row r="108" spans="1:13" x14ac:dyDescent="0.2">
      <c r="A108" s="2" t="s">
        <v>2941</v>
      </c>
    </row>
    <row r="109" spans="1:13" x14ac:dyDescent="0.2">
      <c r="A109" s="1" t="s">
        <v>125</v>
      </c>
    </row>
    <row r="110" spans="1:13" x14ac:dyDescent="0.2">
      <c r="A110" s="1" t="s">
        <v>126</v>
      </c>
    </row>
    <row r="111" spans="1:13" x14ac:dyDescent="0.2">
      <c r="A111" s="1" t="s">
        <v>127</v>
      </c>
    </row>
    <row r="112" spans="1:13" x14ac:dyDescent="0.2">
      <c r="A112" s="1" t="s">
        <v>128</v>
      </c>
    </row>
    <row r="113" spans="1:12" x14ac:dyDescent="0.2">
      <c r="A113" s="1" t="s">
        <v>129</v>
      </c>
    </row>
    <row r="114" spans="1:12" x14ac:dyDescent="0.2">
      <c r="A114" s="1" t="s">
        <v>130</v>
      </c>
    </row>
    <row r="115" spans="1:12" x14ac:dyDescent="0.2">
      <c r="A115" s="1" t="s">
        <v>131</v>
      </c>
    </row>
    <row r="116" spans="1:12" x14ac:dyDescent="0.2">
      <c r="A116" s="1" t="s">
        <v>2386</v>
      </c>
    </row>
    <row r="117" spans="1:12" x14ac:dyDescent="0.2">
      <c r="A117" s="1" t="s">
        <v>132</v>
      </c>
    </row>
    <row r="118" spans="1:12" s="13" customFormat="1" x14ac:dyDescent="0.2"/>
    <row r="120" spans="1:12" x14ac:dyDescent="0.2">
      <c r="C120" s="581" t="s">
        <v>6</v>
      </c>
      <c r="D120" s="581"/>
      <c r="E120" s="581"/>
      <c r="F120" s="25" t="s">
        <v>7</v>
      </c>
      <c r="G120" s="25"/>
      <c r="H120" s="25"/>
      <c r="I120" s="25" t="s">
        <v>124</v>
      </c>
      <c r="J120" s="25"/>
      <c r="K120" s="25"/>
      <c r="L120" s="25"/>
    </row>
    <row r="121" spans="1:12" ht="51" x14ac:dyDescent="0.2">
      <c r="A121" s="12"/>
      <c r="B121" s="12"/>
      <c r="C121" s="13" t="s">
        <v>133</v>
      </c>
      <c r="D121" s="13" t="s">
        <v>14</v>
      </c>
      <c r="E121" s="80" t="s">
        <v>144</v>
      </c>
      <c r="F121" s="275" t="s">
        <v>136</v>
      </c>
      <c r="G121" s="13" t="s">
        <v>139</v>
      </c>
      <c r="H121" s="80" t="s">
        <v>148</v>
      </c>
      <c r="I121" s="13" t="s">
        <v>24</v>
      </c>
      <c r="J121" s="13" t="s">
        <v>138</v>
      </c>
      <c r="K121" s="13" t="s">
        <v>2385</v>
      </c>
      <c r="L121" s="80" t="s">
        <v>147</v>
      </c>
    </row>
    <row r="122" spans="1:12" x14ac:dyDescent="0.2">
      <c r="A122" s="294" t="s">
        <v>134</v>
      </c>
      <c r="B122" s="13"/>
      <c r="C122" s="13">
        <v>60000</v>
      </c>
      <c r="D122" s="12"/>
      <c r="E122" s="12"/>
      <c r="F122" s="13"/>
      <c r="G122" s="13"/>
      <c r="H122" s="12"/>
      <c r="I122" s="13">
        <f>C122</f>
        <v>60000</v>
      </c>
      <c r="J122" s="13"/>
      <c r="K122" s="12"/>
      <c r="L122" s="12"/>
    </row>
    <row r="123" spans="1:12" s="13" customFormat="1" x14ac:dyDescent="0.2">
      <c r="A123" s="294" t="s">
        <v>135</v>
      </c>
      <c r="C123" s="13">
        <v>50000</v>
      </c>
      <c r="F123" s="13">
        <f>C123</f>
        <v>50000</v>
      </c>
    </row>
    <row r="124" spans="1:12" s="12" customFormat="1" x14ac:dyDescent="0.2">
      <c r="A124" s="13" t="s">
        <v>137</v>
      </c>
      <c r="B124" s="13"/>
      <c r="C124" s="252"/>
      <c r="D124" s="416"/>
      <c r="E124" s="416"/>
      <c r="F124" s="416"/>
      <c r="G124" s="252">
        <f>-J124</f>
        <v>3000</v>
      </c>
      <c r="H124" s="416"/>
      <c r="I124" s="416"/>
      <c r="J124" s="252">
        <v>-3000</v>
      </c>
      <c r="K124" s="416"/>
    </row>
    <row r="125" spans="1:12" s="12" customFormat="1" x14ac:dyDescent="0.2">
      <c r="A125" s="13" t="s">
        <v>140</v>
      </c>
      <c r="B125" s="13"/>
      <c r="C125" s="252">
        <v>30000</v>
      </c>
      <c r="D125" s="13">
        <v>10000</v>
      </c>
      <c r="K125" s="252">
        <v>40000</v>
      </c>
    </row>
    <row r="126" spans="1:12" s="12" customFormat="1" x14ac:dyDescent="0.2">
      <c r="A126" s="13" t="s">
        <v>141</v>
      </c>
      <c r="B126" s="13"/>
      <c r="C126" s="252">
        <v>-5000</v>
      </c>
      <c r="J126" s="252">
        <v>-5000</v>
      </c>
    </row>
    <row r="127" spans="1:12" s="13" customFormat="1" x14ac:dyDescent="0.2">
      <c r="A127" s="13" t="s">
        <v>142</v>
      </c>
      <c r="C127" s="252">
        <v>-20000</v>
      </c>
      <c r="J127" s="252">
        <f>C127</f>
        <v>-20000</v>
      </c>
    </row>
    <row r="128" spans="1:12" s="12" customFormat="1" x14ac:dyDescent="0.2">
      <c r="A128" s="13" t="s">
        <v>143</v>
      </c>
      <c r="B128" s="13"/>
      <c r="C128" s="252">
        <v>-15000</v>
      </c>
      <c r="E128" s="252">
        <f>-C128</f>
        <v>15000</v>
      </c>
    </row>
    <row r="129" spans="1:12" s="12" customFormat="1" x14ac:dyDescent="0.2">
      <c r="A129" s="13" t="s">
        <v>145</v>
      </c>
      <c r="B129" s="13"/>
      <c r="C129" s="252">
        <v>16000</v>
      </c>
      <c r="E129" s="252">
        <f>-E128</f>
        <v>-15000</v>
      </c>
      <c r="K129" s="252">
        <v>1000</v>
      </c>
    </row>
    <row r="130" spans="1:12" s="12" customFormat="1" x14ac:dyDescent="0.2">
      <c r="A130" s="13" t="s">
        <v>146</v>
      </c>
      <c r="B130" s="13"/>
      <c r="H130" s="252">
        <f>-L130</f>
        <v>5000</v>
      </c>
      <c r="L130" s="252">
        <f>-5000</f>
        <v>-5000</v>
      </c>
    </row>
    <row r="132" spans="1:12" x14ac:dyDescent="0.2">
      <c r="A132" s="2" t="s">
        <v>149</v>
      </c>
    </row>
    <row r="134" spans="1:12" x14ac:dyDescent="0.2">
      <c r="A134" s="1" t="s">
        <v>150</v>
      </c>
    </row>
    <row r="135" spans="1:12" x14ac:dyDescent="0.2">
      <c r="A135" s="1" t="s">
        <v>151</v>
      </c>
    </row>
    <row r="137" spans="1:12" ht="17" thickBot="1" x14ac:dyDescent="0.25">
      <c r="A137" s="1" t="s">
        <v>152</v>
      </c>
    </row>
    <row r="138" spans="1:12" x14ac:dyDescent="0.2">
      <c r="D138" s="18"/>
      <c r="E138" s="422" t="s">
        <v>6</v>
      </c>
      <c r="F138" s="564" t="s">
        <v>7</v>
      </c>
      <c r="G138" s="565" t="s">
        <v>124</v>
      </c>
      <c r="J138" s="18" t="s">
        <v>3564</v>
      </c>
      <c r="K138" s="19"/>
    </row>
    <row r="139" spans="1:12" x14ac:dyDescent="0.2">
      <c r="D139" s="106" t="s">
        <v>153</v>
      </c>
      <c r="E139" s="14" t="s">
        <v>155</v>
      </c>
      <c r="F139" s="14" t="s">
        <v>156</v>
      </c>
      <c r="G139" s="566" t="s">
        <v>156</v>
      </c>
      <c r="J139" s="106" t="s">
        <v>3565</v>
      </c>
      <c r="K139" s="107"/>
    </row>
    <row r="140" spans="1:12" ht="17" thickBot="1" x14ac:dyDescent="0.25">
      <c r="D140" s="265" t="s">
        <v>154</v>
      </c>
      <c r="E140" s="567" t="s">
        <v>156</v>
      </c>
      <c r="F140" s="567" t="s">
        <v>155</v>
      </c>
      <c r="G140" s="568" t="s">
        <v>155</v>
      </c>
      <c r="J140" s="262" t="s">
        <v>3566</v>
      </c>
      <c r="K140" s="264"/>
    </row>
    <row r="141" spans="1:12" x14ac:dyDescent="0.2">
      <c r="J141" s="106"/>
      <c r="K141" s="107"/>
    </row>
    <row r="142" spans="1:12" ht="17" thickBot="1" x14ac:dyDescent="0.25">
      <c r="J142" s="106" t="s">
        <v>3567</v>
      </c>
      <c r="K142" s="107"/>
    </row>
    <row r="143" spans="1:12" ht="17" thickBot="1" x14ac:dyDescent="0.25">
      <c r="A143" s="384" t="s">
        <v>3580</v>
      </c>
      <c r="B143" s="409"/>
      <c r="C143" s="13"/>
      <c r="D143" s="13"/>
      <c r="F143" s="8" t="s">
        <v>6</v>
      </c>
      <c r="G143" s="32" t="s">
        <v>7</v>
      </c>
      <c r="H143" s="32" t="s">
        <v>124</v>
      </c>
      <c r="J143" s="265" t="s">
        <v>3568</v>
      </c>
      <c r="K143" s="271"/>
    </row>
    <row r="144" spans="1:12" ht="35" thickBot="1" x14ac:dyDescent="0.25">
      <c r="A144" s="265" t="s">
        <v>157</v>
      </c>
      <c r="B144" s="271"/>
      <c r="C144" s="13"/>
      <c r="D144" s="13"/>
      <c r="E144" s="1" t="s">
        <v>153</v>
      </c>
      <c r="F144" s="569" t="s">
        <v>158</v>
      </c>
      <c r="G144" s="1" t="s">
        <v>156</v>
      </c>
      <c r="H144" s="432" t="s">
        <v>159</v>
      </c>
    </row>
    <row r="145" spans="1:10" x14ac:dyDescent="0.2">
      <c r="A145" s="13"/>
      <c r="B145" s="13"/>
      <c r="C145" s="13"/>
      <c r="D145" s="13"/>
      <c r="E145" s="1" t="s">
        <v>154</v>
      </c>
      <c r="F145" s="1" t="s">
        <v>156</v>
      </c>
      <c r="G145" s="1" t="s">
        <v>155</v>
      </c>
      <c r="H145" s="1" t="s">
        <v>155</v>
      </c>
    </row>
    <row r="146" spans="1:10" ht="17" thickBot="1" x14ac:dyDescent="0.25">
      <c r="A146" s="13"/>
      <c r="B146" s="13"/>
      <c r="C146" s="13"/>
      <c r="D146" s="13"/>
    </row>
    <row r="147" spans="1:10" ht="17" thickBot="1" x14ac:dyDescent="0.25">
      <c r="A147" s="384" t="s">
        <v>3581</v>
      </c>
      <c r="B147" s="409"/>
      <c r="C147" s="13"/>
      <c r="D147" s="13"/>
      <c r="F147" s="1" t="s">
        <v>6</v>
      </c>
      <c r="G147" s="1" t="s">
        <v>7</v>
      </c>
      <c r="H147" s="25" t="s">
        <v>124</v>
      </c>
    </row>
    <row r="148" spans="1:10" ht="35" thickBot="1" x14ac:dyDescent="0.25">
      <c r="A148" s="265" t="s">
        <v>160</v>
      </c>
      <c r="B148" s="271"/>
      <c r="C148" s="13"/>
      <c r="D148" s="13"/>
      <c r="E148" s="1" t="s">
        <v>153</v>
      </c>
      <c r="F148" s="569" t="s">
        <v>158</v>
      </c>
      <c r="G148" s="569" t="s">
        <v>161</v>
      </c>
      <c r="H148" s="1" t="s">
        <v>156</v>
      </c>
    </row>
    <row r="149" spans="1:10" x14ac:dyDescent="0.2">
      <c r="A149" s="13"/>
      <c r="B149" s="13"/>
      <c r="C149" s="13"/>
      <c r="D149" s="13"/>
      <c r="E149" s="1" t="s">
        <v>154</v>
      </c>
      <c r="F149" s="1" t="s">
        <v>156</v>
      </c>
      <c r="G149" s="1" t="s">
        <v>155</v>
      </c>
      <c r="H149" s="1" t="s">
        <v>155</v>
      </c>
    </row>
    <row r="150" spans="1:10" s="13" customFormat="1" ht="17" thickBot="1" x14ac:dyDescent="0.25"/>
    <row r="151" spans="1:10" s="13" customFormat="1" ht="17" thickBot="1" x14ac:dyDescent="0.25">
      <c r="A151" s="384" t="s">
        <v>1676</v>
      </c>
      <c r="B151" s="409"/>
      <c r="F151" s="70" t="s">
        <v>6</v>
      </c>
      <c r="G151" s="13" t="s">
        <v>7</v>
      </c>
      <c r="H151" s="70" t="s">
        <v>124</v>
      </c>
      <c r="J151" s="13" t="s">
        <v>3569</v>
      </c>
    </row>
    <row r="152" spans="1:10" s="13" customFormat="1" ht="35" thickBot="1" x14ac:dyDescent="0.25">
      <c r="A152" s="265" t="s">
        <v>164</v>
      </c>
      <c r="B152" s="271"/>
      <c r="E152" s="13" t="s">
        <v>153</v>
      </c>
      <c r="F152" s="13" t="s">
        <v>155</v>
      </c>
      <c r="G152" s="570" t="s">
        <v>162</v>
      </c>
      <c r="H152" s="13" t="s">
        <v>156</v>
      </c>
      <c r="J152" s="13" t="s">
        <v>3570</v>
      </c>
    </row>
    <row r="153" spans="1:10" s="13" customFormat="1" ht="52" thickBot="1" x14ac:dyDescent="0.25">
      <c r="E153" s="13" t="s">
        <v>154</v>
      </c>
      <c r="F153" s="13" t="s">
        <v>156</v>
      </c>
      <c r="G153" s="13" t="s">
        <v>155</v>
      </c>
      <c r="H153" s="570" t="s">
        <v>163</v>
      </c>
      <c r="J153" s="13" t="s">
        <v>3571</v>
      </c>
    </row>
    <row r="154" spans="1:10" ht="17" thickBot="1" x14ac:dyDescent="0.25"/>
    <row r="155" spans="1:10" x14ac:dyDescent="0.2">
      <c r="A155" s="18" t="s">
        <v>165</v>
      </c>
      <c r="B155" s="19"/>
      <c r="C155" s="1" t="s">
        <v>2387</v>
      </c>
      <c r="E155" s="1" t="s">
        <v>3572</v>
      </c>
    </row>
    <row r="156" spans="1:10" x14ac:dyDescent="0.2">
      <c r="A156" s="106" t="s">
        <v>166</v>
      </c>
      <c r="B156" s="107"/>
      <c r="C156" s="1" t="s">
        <v>2388</v>
      </c>
      <c r="E156" s="1" t="s">
        <v>3573</v>
      </c>
    </row>
    <row r="157" spans="1:10" ht="17" thickBot="1" x14ac:dyDescent="0.25">
      <c r="A157" s="20" t="s">
        <v>167</v>
      </c>
      <c r="B157" s="21"/>
      <c r="C157" s="1" t="s">
        <v>2389</v>
      </c>
    </row>
    <row r="159" spans="1:10" x14ac:dyDescent="0.2">
      <c r="F159" s="1" t="s">
        <v>6</v>
      </c>
      <c r="H159" s="1" t="s">
        <v>7</v>
      </c>
      <c r="I159" s="1" t="s">
        <v>124</v>
      </c>
    </row>
    <row r="160" spans="1:10" x14ac:dyDescent="0.2">
      <c r="F160" s="25" t="s">
        <v>133</v>
      </c>
      <c r="G160" s="25" t="s">
        <v>14</v>
      </c>
      <c r="H160" s="25"/>
      <c r="I160" s="25" t="s">
        <v>4</v>
      </c>
    </row>
    <row r="161" spans="1:12" x14ac:dyDescent="0.2">
      <c r="F161" s="24">
        <v>30000</v>
      </c>
      <c r="G161" s="24">
        <v>10000</v>
      </c>
      <c r="I161" s="24">
        <v>40000</v>
      </c>
    </row>
    <row r="162" spans="1:12" x14ac:dyDescent="0.2">
      <c r="F162" s="24"/>
    </row>
    <row r="163" spans="1:12" ht="17" thickBot="1" x14ac:dyDescent="0.25">
      <c r="F163" s="24"/>
    </row>
    <row r="164" spans="1:12" x14ac:dyDescent="0.2">
      <c r="A164" s="18" t="s">
        <v>168</v>
      </c>
      <c r="B164" s="19"/>
      <c r="D164" s="1" t="s">
        <v>2390</v>
      </c>
    </row>
    <row r="165" spans="1:12" ht="17" thickBot="1" x14ac:dyDescent="0.25">
      <c r="A165" s="20" t="s">
        <v>171</v>
      </c>
      <c r="B165" s="21"/>
      <c r="D165" s="1" t="s">
        <v>2391</v>
      </c>
    </row>
    <row r="166" spans="1:12" ht="17" thickBot="1" x14ac:dyDescent="0.25"/>
    <row r="167" spans="1:12" x14ac:dyDescent="0.2">
      <c r="A167" s="18" t="s">
        <v>169</v>
      </c>
      <c r="B167" s="100"/>
      <c r="C167" s="19"/>
      <c r="D167" s="1" t="s">
        <v>2392</v>
      </c>
    </row>
    <row r="168" spans="1:12" ht="17" thickBot="1" x14ac:dyDescent="0.25">
      <c r="A168" s="20" t="s">
        <v>170</v>
      </c>
      <c r="B168" s="103"/>
      <c r="C168" s="21"/>
    </row>
    <row r="169" spans="1:12" ht="17" thickBot="1" x14ac:dyDescent="0.25"/>
    <row r="170" spans="1:12" x14ac:dyDescent="0.2">
      <c r="A170" s="18" t="s">
        <v>172</v>
      </c>
      <c r="B170" s="100"/>
      <c r="C170" s="19"/>
      <c r="D170" s="1" t="s">
        <v>2393</v>
      </c>
      <c r="J170" s="1" t="s">
        <v>3574</v>
      </c>
    </row>
    <row r="171" spans="1:12" ht="17" thickBot="1" x14ac:dyDescent="0.25">
      <c r="A171" s="20" t="s">
        <v>173</v>
      </c>
      <c r="B171" s="103"/>
      <c r="C171" s="21"/>
      <c r="D171" s="1" t="s">
        <v>2394</v>
      </c>
      <c r="J171" s="1" t="s">
        <v>3575</v>
      </c>
    </row>
    <row r="172" spans="1:12" ht="17" thickBot="1" x14ac:dyDescent="0.25"/>
    <row r="173" spans="1:12" x14ac:dyDescent="0.2">
      <c r="A173" s="18" t="s">
        <v>174</v>
      </c>
      <c r="B173" s="100"/>
      <c r="C173" s="19"/>
      <c r="D173" s="1" t="s">
        <v>2395</v>
      </c>
      <c r="J173" s="537" t="s">
        <v>6</v>
      </c>
      <c r="K173" s="537"/>
      <c r="L173" s="16" t="s">
        <v>1614</v>
      </c>
    </row>
    <row r="174" spans="1:12" x14ac:dyDescent="0.2">
      <c r="A174" s="106" t="s">
        <v>175</v>
      </c>
      <c r="C174" s="107"/>
      <c r="D174" s="1" t="s">
        <v>2396</v>
      </c>
      <c r="J174" s="1" t="s">
        <v>133</v>
      </c>
      <c r="K174" s="1" t="s">
        <v>3390</v>
      </c>
      <c r="L174" s="1" t="s">
        <v>1250</v>
      </c>
    </row>
    <row r="175" spans="1:12" ht="17" thickBot="1" x14ac:dyDescent="0.25">
      <c r="A175" s="20" t="s">
        <v>176</v>
      </c>
      <c r="B175" s="103"/>
      <c r="C175" s="21"/>
      <c r="D175" s="1" t="s">
        <v>2397</v>
      </c>
      <c r="J175" s="24">
        <v>16000</v>
      </c>
      <c r="K175" s="24">
        <v>-15000</v>
      </c>
      <c r="L175" s="24">
        <v>1000</v>
      </c>
    </row>
    <row r="176" spans="1:12" ht="17" thickBot="1" x14ac:dyDescent="0.25"/>
    <row r="177" spans="1:10" x14ac:dyDescent="0.2">
      <c r="A177" s="18" t="s">
        <v>177</v>
      </c>
      <c r="B177" s="100"/>
      <c r="C177" s="19"/>
      <c r="D177" s="1" t="s">
        <v>3576</v>
      </c>
    </row>
    <row r="178" spans="1:10" ht="17" thickBot="1" x14ac:dyDescent="0.25">
      <c r="A178" s="20" t="s">
        <v>178</v>
      </c>
      <c r="B178" s="103"/>
      <c r="C178" s="21"/>
      <c r="D178" s="1" t="s">
        <v>3577</v>
      </c>
    </row>
    <row r="180" spans="1:10" ht="17" thickBot="1" x14ac:dyDescent="0.25"/>
    <row r="181" spans="1:10" x14ac:dyDescent="0.2">
      <c r="A181" s="18" t="s">
        <v>180</v>
      </c>
      <c r="B181" s="100"/>
      <c r="C181" s="100"/>
      <c r="D181" s="100"/>
      <c r="E181" s="100"/>
      <c r="F181" s="100"/>
      <c r="G181" s="100"/>
      <c r="H181" s="19"/>
    </row>
    <row r="182" spans="1:10" ht="17" thickBot="1" x14ac:dyDescent="0.25">
      <c r="A182" s="20"/>
      <c r="B182" s="103"/>
      <c r="C182" s="103"/>
      <c r="D182" s="103"/>
      <c r="E182" s="103"/>
      <c r="F182" s="500" t="s">
        <v>179</v>
      </c>
      <c r="G182" s="103"/>
      <c r="H182" s="21"/>
    </row>
    <row r="184" spans="1:10" x14ac:dyDescent="0.2">
      <c r="A184" s="3" t="s">
        <v>3582</v>
      </c>
      <c r="B184" s="3"/>
      <c r="C184" s="3"/>
      <c r="D184" s="3"/>
      <c r="E184" s="3"/>
      <c r="F184" s="3"/>
      <c r="G184" s="187" t="s">
        <v>3597</v>
      </c>
      <c r="H184" s="187"/>
      <c r="I184" s="187"/>
      <c r="J184" s="3"/>
    </row>
    <row r="186" spans="1:10" x14ac:dyDescent="0.2">
      <c r="A186" s="1" t="s">
        <v>3583</v>
      </c>
    </row>
    <row r="187" spans="1:10" x14ac:dyDescent="0.2">
      <c r="A187" s="1" t="s">
        <v>3584</v>
      </c>
    </row>
    <row r="188" spans="1:10" x14ac:dyDescent="0.2">
      <c r="A188" s="1" t="s">
        <v>3585</v>
      </c>
    </row>
    <row r="189" spans="1:10" x14ac:dyDescent="0.2">
      <c r="A189" s="1" t="s">
        <v>3586</v>
      </c>
    </row>
    <row r="190" spans="1:10" x14ac:dyDescent="0.2">
      <c r="A190" s="1" t="s">
        <v>3587</v>
      </c>
    </row>
    <row r="191" spans="1:10" x14ac:dyDescent="0.2">
      <c r="A191" s="1" t="s">
        <v>3588</v>
      </c>
    </row>
    <row r="192" spans="1:10" x14ac:dyDescent="0.2">
      <c r="A192" s="1" t="s">
        <v>3589</v>
      </c>
    </row>
    <row r="193" spans="1:10" x14ac:dyDescent="0.2">
      <c r="A193" s="1" t="s">
        <v>3590</v>
      </c>
    </row>
    <row r="194" spans="1:10" x14ac:dyDescent="0.2">
      <c r="A194" s="1" t="s">
        <v>3591</v>
      </c>
    </row>
    <row r="196" spans="1:10" x14ac:dyDescent="0.2">
      <c r="A196" s="1" t="s">
        <v>3592</v>
      </c>
    </row>
    <row r="197" spans="1:10" x14ac:dyDescent="0.2">
      <c r="A197" s="1" t="s">
        <v>3593</v>
      </c>
    </row>
    <row r="198" spans="1:10" x14ac:dyDescent="0.2">
      <c r="D198" s="1" t="s">
        <v>6</v>
      </c>
      <c r="F198" s="1" t="s">
        <v>7</v>
      </c>
      <c r="H198" s="1" t="s">
        <v>124</v>
      </c>
    </row>
    <row r="199" spans="1:10" x14ac:dyDescent="0.2">
      <c r="H199" s="1" t="s">
        <v>24</v>
      </c>
      <c r="I199" s="1" t="s">
        <v>2385</v>
      </c>
      <c r="J199" s="1" t="s">
        <v>138</v>
      </c>
    </row>
    <row r="201" spans="1:10" x14ac:dyDescent="0.2">
      <c r="A201" s="1" t="s">
        <v>3594</v>
      </c>
    </row>
    <row r="203" spans="1:10" x14ac:dyDescent="0.2">
      <c r="D203" s="25" t="s">
        <v>6</v>
      </c>
      <c r="E203" s="25" t="s">
        <v>7</v>
      </c>
      <c r="F203" s="25" t="s">
        <v>124</v>
      </c>
      <c r="G203" s="25" t="s">
        <v>4</v>
      </c>
      <c r="H203" s="25" t="s">
        <v>5</v>
      </c>
    </row>
    <row r="204" spans="1:10" x14ac:dyDescent="0.2">
      <c r="C204" s="1" t="s">
        <v>3595</v>
      </c>
      <c r="D204" s="1" t="s">
        <v>155</v>
      </c>
      <c r="E204" s="1" t="s">
        <v>156</v>
      </c>
      <c r="F204" s="1" t="s">
        <v>156</v>
      </c>
      <c r="G204" s="1" t="s">
        <v>156</v>
      </c>
      <c r="H204" s="1" t="s">
        <v>155</v>
      </c>
    </row>
    <row r="205" spans="1:10" x14ac:dyDescent="0.2">
      <c r="C205" s="1" t="s">
        <v>3596</v>
      </c>
      <c r="D205" s="1" t="s">
        <v>156</v>
      </c>
      <c r="E205" s="1" t="s">
        <v>155</v>
      </c>
      <c r="F205" s="1" t="s">
        <v>155</v>
      </c>
      <c r="G205" s="1" t="s">
        <v>155</v>
      </c>
      <c r="H205" s="1" t="s">
        <v>156</v>
      </c>
    </row>
    <row r="207" spans="1:10" x14ac:dyDescent="0.2">
      <c r="A207" s="2" t="s">
        <v>657</v>
      </c>
    </row>
    <row r="208" spans="1:10" x14ac:dyDescent="0.2">
      <c r="A208" s="1" t="s">
        <v>3599</v>
      </c>
    </row>
    <row r="209" spans="1:11" x14ac:dyDescent="0.2">
      <c r="A209" s="1" t="s">
        <v>3600</v>
      </c>
    </row>
    <row r="211" spans="1:11" x14ac:dyDescent="0.2">
      <c r="A211" s="1" t="s">
        <v>3598</v>
      </c>
      <c r="C211" s="1" t="s">
        <v>6</v>
      </c>
      <c r="F211" s="1" t="s">
        <v>7</v>
      </c>
      <c r="I211" s="1" t="s">
        <v>124</v>
      </c>
    </row>
    <row r="212" spans="1:11" x14ac:dyDescent="0.2">
      <c r="C212" s="25" t="s">
        <v>133</v>
      </c>
      <c r="D212" s="25" t="s">
        <v>14</v>
      </c>
      <c r="E212" s="25" t="s">
        <v>3428</v>
      </c>
      <c r="F212" s="25" t="s">
        <v>3611</v>
      </c>
      <c r="G212" s="25" t="s">
        <v>3618</v>
      </c>
      <c r="H212" s="25"/>
      <c r="I212" s="25" t="s">
        <v>24</v>
      </c>
      <c r="J212" s="25" t="s">
        <v>4</v>
      </c>
      <c r="K212" s="25" t="s">
        <v>5</v>
      </c>
    </row>
    <row r="213" spans="1:11" x14ac:dyDescent="0.2">
      <c r="A213" s="1" t="s">
        <v>3601</v>
      </c>
      <c r="C213" s="23">
        <v>120000</v>
      </c>
      <c r="D213" s="23"/>
      <c r="E213" s="23"/>
      <c r="F213" s="23"/>
      <c r="G213" s="23"/>
      <c r="H213" s="23"/>
      <c r="I213" s="23">
        <f>C213</f>
        <v>120000</v>
      </c>
      <c r="J213" s="23"/>
      <c r="K213" s="23"/>
    </row>
    <row r="214" spans="1:11" x14ac:dyDescent="0.2">
      <c r="A214" s="1" t="s">
        <v>3604</v>
      </c>
      <c r="C214" s="23">
        <v>100000</v>
      </c>
      <c r="D214" s="23">
        <v>50000</v>
      </c>
      <c r="E214" s="23">
        <v>50000</v>
      </c>
      <c r="F214" s="23"/>
      <c r="G214" s="23"/>
      <c r="H214" s="23"/>
      <c r="I214" s="23"/>
      <c r="J214" s="23">
        <v>200000</v>
      </c>
      <c r="K214" s="23"/>
    </row>
    <row r="215" spans="1:11" x14ac:dyDescent="0.2">
      <c r="A215" s="1" t="s">
        <v>3610</v>
      </c>
      <c r="C215" s="23">
        <v>150000</v>
      </c>
      <c r="D215" s="23"/>
      <c r="E215" s="23"/>
      <c r="F215" s="23">
        <v>150000</v>
      </c>
      <c r="G215" s="23"/>
      <c r="H215" s="23"/>
      <c r="I215" s="23"/>
      <c r="J215" s="23"/>
      <c r="K215" s="23"/>
    </row>
    <row r="216" spans="1:11" x14ac:dyDescent="0.2">
      <c r="A216" s="1" t="s">
        <v>3614</v>
      </c>
      <c r="C216" s="23">
        <v>-19000</v>
      </c>
      <c r="D216" s="23"/>
      <c r="E216" s="23"/>
      <c r="F216" s="23"/>
      <c r="G216" s="23"/>
      <c r="H216" s="23"/>
      <c r="I216" s="23"/>
      <c r="J216" s="23"/>
      <c r="K216" s="23">
        <f>C216</f>
        <v>-19000</v>
      </c>
    </row>
    <row r="217" spans="1:11" x14ac:dyDescent="0.2">
      <c r="A217" s="1" t="s">
        <v>3617</v>
      </c>
      <c r="C217" s="23">
        <v>-20000</v>
      </c>
      <c r="D217" s="23"/>
      <c r="E217" s="23"/>
      <c r="F217" s="23"/>
      <c r="G217" s="23">
        <v>15000</v>
      </c>
      <c r="H217" s="23"/>
      <c r="I217" s="23"/>
      <c r="J217" s="23"/>
      <c r="K217" s="23">
        <v>-35000</v>
      </c>
    </row>
    <row r="218" spans="1:11" x14ac:dyDescent="0.2">
      <c r="C218" s="23"/>
      <c r="D218" s="23"/>
      <c r="E218" s="23"/>
      <c r="F218" s="23"/>
      <c r="G218" s="23"/>
      <c r="H218" s="23"/>
      <c r="I218" s="23"/>
      <c r="J218" s="23"/>
      <c r="K218" s="23"/>
    </row>
    <row r="220" spans="1:11" hidden="1" x14ac:dyDescent="0.2">
      <c r="A220" s="1" t="s">
        <v>1793</v>
      </c>
    </row>
    <row r="221" spans="1:11" hidden="1" x14ac:dyDescent="0.2">
      <c r="A221" s="1" t="s">
        <v>3602</v>
      </c>
    </row>
    <row r="222" spans="1:11" hidden="1" x14ac:dyDescent="0.2">
      <c r="A222" s="1" t="s">
        <v>3603</v>
      </c>
    </row>
    <row r="223" spans="1:11" hidden="1" x14ac:dyDescent="0.2">
      <c r="A223" s="1" t="s">
        <v>3605</v>
      </c>
    </row>
    <row r="224" spans="1:11" hidden="1" x14ac:dyDescent="0.2">
      <c r="A224" s="1" t="s">
        <v>3606</v>
      </c>
    </row>
    <row r="225" spans="1:10" hidden="1" x14ac:dyDescent="0.2">
      <c r="A225" s="1" t="s">
        <v>3607</v>
      </c>
    </row>
    <row r="226" spans="1:10" hidden="1" x14ac:dyDescent="0.2">
      <c r="A226" s="1" t="s">
        <v>3608</v>
      </c>
    </row>
    <row r="227" spans="1:10" hidden="1" x14ac:dyDescent="0.2">
      <c r="A227" s="1" t="s">
        <v>3609</v>
      </c>
    </row>
    <row r="228" spans="1:10" hidden="1" x14ac:dyDescent="0.2">
      <c r="A228" s="1" t="s">
        <v>3612</v>
      </c>
    </row>
    <row r="229" spans="1:10" hidden="1" x14ac:dyDescent="0.2">
      <c r="A229" s="1" t="s">
        <v>3613</v>
      </c>
    </row>
    <row r="230" spans="1:10" hidden="1" x14ac:dyDescent="0.2">
      <c r="A230" s="1" t="s">
        <v>3615</v>
      </c>
    </row>
    <row r="231" spans="1:10" hidden="1" x14ac:dyDescent="0.2">
      <c r="A231" s="1" t="s">
        <v>3616</v>
      </c>
    </row>
    <row r="232" spans="1:10" hidden="1" x14ac:dyDescent="0.2">
      <c r="A232" s="1" t="s">
        <v>3619</v>
      </c>
    </row>
    <row r="233" spans="1:10" hidden="1" x14ac:dyDescent="0.2">
      <c r="A233" s="1" t="s">
        <v>3620</v>
      </c>
    </row>
    <row r="235" spans="1:10" x14ac:dyDescent="0.2">
      <c r="A235" s="2" t="s">
        <v>3621</v>
      </c>
      <c r="E235" s="3"/>
      <c r="F235" s="73" t="s">
        <v>6</v>
      </c>
      <c r="G235" s="73" t="s">
        <v>7</v>
      </c>
      <c r="H235" s="73" t="s">
        <v>1614</v>
      </c>
      <c r="I235" s="73" t="s">
        <v>4</v>
      </c>
      <c r="J235" s="73" t="s">
        <v>5</v>
      </c>
    </row>
    <row r="236" spans="1:10" x14ac:dyDescent="0.2">
      <c r="E236" s="3" t="s">
        <v>3595</v>
      </c>
      <c r="F236" s="3" t="s">
        <v>155</v>
      </c>
      <c r="G236" s="3" t="s">
        <v>156</v>
      </c>
      <c r="H236" s="3" t="s">
        <v>156</v>
      </c>
      <c r="I236" s="3" t="s">
        <v>156</v>
      </c>
      <c r="J236" s="3" t="s">
        <v>155</v>
      </c>
    </row>
    <row r="237" spans="1:10" x14ac:dyDescent="0.2">
      <c r="E237" s="3" t="s">
        <v>3596</v>
      </c>
      <c r="F237" s="3" t="s">
        <v>156</v>
      </c>
      <c r="G237" s="3" t="s">
        <v>155</v>
      </c>
      <c r="H237" s="3" t="s">
        <v>155</v>
      </c>
      <c r="I237" s="3" t="s">
        <v>155</v>
      </c>
      <c r="J237" s="3" t="s">
        <v>156</v>
      </c>
    </row>
    <row r="239" spans="1:10" x14ac:dyDescent="0.2">
      <c r="A239" s="1" t="s">
        <v>3622</v>
      </c>
      <c r="D239" s="1" t="s">
        <v>3625</v>
      </c>
      <c r="G239" s="1" t="s">
        <v>3630</v>
      </c>
      <c r="J239" s="1" t="s">
        <v>3633</v>
      </c>
    </row>
    <row r="240" spans="1:10" x14ac:dyDescent="0.2">
      <c r="B240" s="1" t="s">
        <v>3623</v>
      </c>
      <c r="E240" s="1" t="s">
        <v>3626</v>
      </c>
      <c r="H240" s="1" t="s">
        <v>3631</v>
      </c>
      <c r="J240" s="1" t="s">
        <v>3634</v>
      </c>
    </row>
    <row r="241" spans="1:10" x14ac:dyDescent="0.2">
      <c r="B241" s="1" t="s">
        <v>3624</v>
      </c>
      <c r="E241" s="1" t="s">
        <v>3627</v>
      </c>
      <c r="H241" s="1" t="s">
        <v>3632</v>
      </c>
      <c r="J241" s="1" t="s">
        <v>3635</v>
      </c>
    </row>
    <row r="242" spans="1:10" x14ac:dyDescent="0.2">
      <c r="E242" s="1" t="s">
        <v>3628</v>
      </c>
    </row>
    <row r="243" spans="1:10" x14ac:dyDescent="0.2">
      <c r="E243" s="1" t="s">
        <v>3629</v>
      </c>
    </row>
    <row r="245" spans="1:10" x14ac:dyDescent="0.2">
      <c r="A245" s="1" t="s">
        <v>3636</v>
      </c>
    </row>
    <row r="246" spans="1:10" x14ac:dyDescent="0.2">
      <c r="B246" s="1" t="s">
        <v>170</v>
      </c>
    </row>
    <row r="247" spans="1:10" x14ac:dyDescent="0.2">
      <c r="B247" s="1" t="s">
        <v>3637</v>
      </c>
    </row>
    <row r="248" spans="1:10" x14ac:dyDescent="0.2">
      <c r="B248" s="1" t="s">
        <v>3638</v>
      </c>
    </row>
    <row r="250" spans="1:10" ht="18" x14ac:dyDescent="0.2">
      <c r="A250" s="501" t="s">
        <v>2942</v>
      </c>
      <c r="B250" s="25"/>
      <c r="C250" s="25"/>
      <c r="D250" s="25"/>
      <c r="E250" s="25"/>
      <c r="F250" s="25"/>
      <c r="G250" s="25"/>
      <c r="H250" s="25"/>
      <c r="I250" s="25"/>
      <c r="J250" s="25"/>
    </row>
    <row r="252" spans="1:10" x14ac:dyDescent="0.2">
      <c r="A252" s="1" t="s">
        <v>2943</v>
      </c>
    </row>
    <row r="253" spans="1:10" x14ac:dyDescent="0.2">
      <c r="A253" s="1" t="s">
        <v>2944</v>
      </c>
    </row>
    <row r="254" spans="1:10" x14ac:dyDescent="0.2">
      <c r="A254" s="1" t="s">
        <v>2945</v>
      </c>
    </row>
    <row r="255" spans="1:10" ht="17" thickBot="1" x14ac:dyDescent="0.25"/>
    <row r="256" spans="1:10" x14ac:dyDescent="0.2">
      <c r="D256" s="18"/>
      <c r="E256" s="422" t="s">
        <v>6</v>
      </c>
      <c r="F256" s="422" t="s">
        <v>7</v>
      </c>
      <c r="G256" s="423" t="s">
        <v>124</v>
      </c>
    </row>
    <row r="257" spans="1:9" x14ac:dyDescent="0.2">
      <c r="D257" s="106" t="s">
        <v>153</v>
      </c>
      <c r="E257" s="2" t="s">
        <v>155</v>
      </c>
      <c r="F257" s="14" t="s">
        <v>156</v>
      </c>
      <c r="G257" s="152" t="s">
        <v>156</v>
      </c>
    </row>
    <row r="258" spans="1:9" ht="17" thickBot="1" x14ac:dyDescent="0.25">
      <c r="D258" s="20" t="s">
        <v>154</v>
      </c>
      <c r="E258" s="154" t="s">
        <v>156</v>
      </c>
      <c r="F258" s="154" t="s">
        <v>155</v>
      </c>
      <c r="G258" s="155" t="s">
        <v>155</v>
      </c>
    </row>
    <row r="260" spans="1:9" x14ac:dyDescent="0.2">
      <c r="A260" s="1" t="s">
        <v>2946</v>
      </c>
    </row>
    <row r="262" spans="1:9" x14ac:dyDescent="0.2">
      <c r="A262" s="502" t="s">
        <v>2947</v>
      </c>
      <c r="B262" s="503"/>
      <c r="C262" s="503"/>
      <c r="D262" s="503"/>
      <c r="E262" s="503"/>
      <c r="F262" s="503"/>
      <c r="G262" s="503"/>
      <c r="H262" s="503"/>
      <c r="I262" s="503"/>
    </row>
    <row r="263" spans="1:9" x14ac:dyDescent="0.2">
      <c r="A263" s="1" t="s">
        <v>2948</v>
      </c>
    </row>
    <row r="264" spans="1:9" x14ac:dyDescent="0.2">
      <c r="A264" s="1" t="s">
        <v>2949</v>
      </c>
    </row>
    <row r="266" spans="1:9" x14ac:dyDescent="0.2">
      <c r="A266" s="144" t="s">
        <v>2950</v>
      </c>
    </row>
    <row r="268" spans="1:9" x14ac:dyDescent="0.2">
      <c r="A268" s="1" t="s">
        <v>2951</v>
      </c>
      <c r="F268" s="1" t="s">
        <v>2953</v>
      </c>
      <c r="I268" s="24">
        <v>180000</v>
      </c>
    </row>
    <row r="269" spans="1:9" x14ac:dyDescent="0.2">
      <c r="A269" s="1" t="s">
        <v>2952</v>
      </c>
      <c r="F269" s="1" t="s">
        <v>2954</v>
      </c>
      <c r="I269" s="24">
        <f>I268</f>
        <v>180000</v>
      </c>
    </row>
    <row r="271" spans="1:9" x14ac:dyDescent="0.2">
      <c r="A271" s="144" t="s">
        <v>2955</v>
      </c>
    </row>
    <row r="273" spans="1:9" x14ac:dyDescent="0.2">
      <c r="A273" s="1" t="s">
        <v>2956</v>
      </c>
      <c r="F273" s="1" t="s">
        <v>2953</v>
      </c>
      <c r="I273" s="24">
        <v>350000</v>
      </c>
    </row>
    <row r="274" spans="1:9" x14ac:dyDescent="0.2">
      <c r="A274" s="1" t="s">
        <v>2957</v>
      </c>
      <c r="F274" s="1" t="s">
        <v>2958</v>
      </c>
      <c r="I274" s="24">
        <f>I273</f>
        <v>350000</v>
      </c>
    </row>
    <row r="276" spans="1:9" x14ac:dyDescent="0.2">
      <c r="A276" s="144" t="s">
        <v>2959</v>
      </c>
    </row>
    <row r="278" spans="1:9" x14ac:dyDescent="0.2">
      <c r="A278" s="1" t="s">
        <v>2960</v>
      </c>
      <c r="F278" s="1" t="s">
        <v>2961</v>
      </c>
      <c r="I278" s="24">
        <v>30000</v>
      </c>
    </row>
    <row r="279" spans="1:9" x14ac:dyDescent="0.2">
      <c r="A279" s="1" t="s">
        <v>2962</v>
      </c>
      <c r="F279" s="1" t="s">
        <v>2963</v>
      </c>
      <c r="I279" s="24">
        <v>30000</v>
      </c>
    </row>
    <row r="281" spans="1:9" x14ac:dyDescent="0.2">
      <c r="A281" s="144" t="s">
        <v>2964</v>
      </c>
    </row>
    <row r="282" spans="1:9" x14ac:dyDescent="0.2">
      <c r="A282" s="1" t="s">
        <v>2965</v>
      </c>
    </row>
    <row r="284" spans="1:9" x14ac:dyDescent="0.2">
      <c r="A284" s="1" t="s">
        <v>2960</v>
      </c>
      <c r="F284" s="1" t="s">
        <v>2961</v>
      </c>
      <c r="I284" s="24">
        <v>28000</v>
      </c>
    </row>
    <row r="285" spans="1:9" x14ac:dyDescent="0.2">
      <c r="A285" s="1" t="s">
        <v>2966</v>
      </c>
      <c r="F285" s="1" t="s">
        <v>2968</v>
      </c>
      <c r="I285" s="24">
        <v>40000</v>
      </c>
    </row>
    <row r="286" spans="1:9" x14ac:dyDescent="0.2">
      <c r="A286" s="1" t="s">
        <v>2967</v>
      </c>
      <c r="F286" s="1" t="s">
        <v>2969</v>
      </c>
      <c r="I286" s="24">
        <v>12000</v>
      </c>
    </row>
    <row r="288" spans="1:9" x14ac:dyDescent="0.2">
      <c r="A288" s="144" t="s">
        <v>2970</v>
      </c>
    </row>
    <row r="289" spans="1:13" x14ac:dyDescent="0.2">
      <c r="A289" s="1" t="s">
        <v>2971</v>
      </c>
    </row>
    <row r="291" spans="1:13" x14ac:dyDescent="0.2">
      <c r="A291" s="1" t="s">
        <v>2960</v>
      </c>
      <c r="F291" s="1" t="s">
        <v>2961</v>
      </c>
      <c r="I291" s="24">
        <v>40000</v>
      </c>
    </row>
    <row r="292" spans="1:13" x14ac:dyDescent="0.2">
      <c r="A292" s="1" t="s">
        <v>2972</v>
      </c>
      <c r="F292" s="1" t="s">
        <v>2973</v>
      </c>
      <c r="I292" s="24">
        <v>150000</v>
      </c>
    </row>
    <row r="293" spans="1:13" x14ac:dyDescent="0.2">
      <c r="A293" s="1" t="s">
        <v>2974</v>
      </c>
      <c r="F293" s="1" t="s">
        <v>2969</v>
      </c>
      <c r="I293" s="24">
        <f>I292-I291</f>
        <v>110000</v>
      </c>
    </row>
    <row r="295" spans="1:13" x14ac:dyDescent="0.2">
      <c r="A295" s="144" t="s">
        <v>2975</v>
      </c>
    </row>
    <row r="297" spans="1:13" x14ac:dyDescent="0.2">
      <c r="A297" s="1" t="s">
        <v>2960</v>
      </c>
      <c r="F297" s="1" t="s">
        <v>2961</v>
      </c>
      <c r="I297" s="24">
        <v>500</v>
      </c>
    </row>
    <row r="298" spans="1:13" x14ac:dyDescent="0.2">
      <c r="A298" s="1" t="s">
        <v>2976</v>
      </c>
      <c r="F298" s="1" t="s">
        <v>2977</v>
      </c>
      <c r="I298" s="24">
        <f>I297</f>
        <v>500</v>
      </c>
    </row>
    <row r="300" spans="1:13" x14ac:dyDescent="0.2">
      <c r="A300" s="144" t="s">
        <v>2978</v>
      </c>
    </row>
    <row r="301" spans="1:13" x14ac:dyDescent="0.2">
      <c r="A301" s="1" t="s">
        <v>2979</v>
      </c>
    </row>
    <row r="302" spans="1:13" ht="17" thickBot="1" x14ac:dyDescent="0.25"/>
    <row r="303" spans="1:13" x14ac:dyDescent="0.2">
      <c r="A303" s="1" t="s">
        <v>2980</v>
      </c>
      <c r="F303" s="1" t="s">
        <v>2953</v>
      </c>
      <c r="I303" s="24">
        <v>25000</v>
      </c>
      <c r="J303" s="18"/>
      <c r="K303" s="422" t="s">
        <v>6</v>
      </c>
      <c r="L303" s="422" t="s">
        <v>7</v>
      </c>
      <c r="M303" s="423" t="s">
        <v>124</v>
      </c>
    </row>
    <row r="304" spans="1:13" x14ac:dyDescent="0.2">
      <c r="A304" s="1" t="s">
        <v>2981</v>
      </c>
      <c r="F304" s="1" t="s">
        <v>2982</v>
      </c>
      <c r="I304" s="24">
        <v>70000</v>
      </c>
      <c r="J304" s="106" t="s">
        <v>153</v>
      </c>
      <c r="K304" s="2" t="s">
        <v>155</v>
      </c>
      <c r="L304" s="14" t="s">
        <v>156</v>
      </c>
      <c r="M304" s="152" t="s">
        <v>156</v>
      </c>
    </row>
    <row r="305" spans="1:13" ht="17" thickBot="1" x14ac:dyDescent="0.25">
      <c r="A305" s="1" t="s">
        <v>2983</v>
      </c>
      <c r="F305" s="1" t="s">
        <v>2984</v>
      </c>
      <c r="I305" s="24">
        <v>8000</v>
      </c>
      <c r="J305" s="20" t="s">
        <v>154</v>
      </c>
      <c r="K305" s="154" t="s">
        <v>156</v>
      </c>
      <c r="L305" s="154" t="s">
        <v>155</v>
      </c>
      <c r="M305" s="155" t="s">
        <v>155</v>
      </c>
    </row>
    <row r="306" spans="1:13" x14ac:dyDescent="0.2">
      <c r="A306" s="1" t="s">
        <v>2985</v>
      </c>
      <c r="F306" s="1" t="s">
        <v>239</v>
      </c>
      <c r="I306" s="24">
        <v>37000</v>
      </c>
    </row>
  </sheetData>
  <mergeCells count="1">
    <mergeCell ref="A98:I98"/>
  </mergeCells>
  <hyperlinks>
    <hyperlink ref="F182" r:id="rId1" xr:uid="{2277439C-EEDF-014C-9FFB-5CC198CAD76D}"/>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7B544-D0CD-FD48-8E9C-CC82897DEDC7}">
  <dimension ref="A1:I244"/>
  <sheetViews>
    <sheetView rightToLeft="1" zoomScale="281" workbookViewId="0">
      <selection activeCell="C48" sqref="C48"/>
    </sheetView>
  </sheetViews>
  <sheetFormatPr baseColWidth="10" defaultRowHeight="16" x14ac:dyDescent="0.2"/>
  <cols>
    <col min="1" max="1" width="11.5" style="1" customWidth="1"/>
    <col min="2" max="16384" width="10.83203125" style="1"/>
  </cols>
  <sheetData>
    <row r="1" spans="1:9" x14ac:dyDescent="0.2">
      <c r="A1" s="7" t="s">
        <v>1678</v>
      </c>
      <c r="B1" s="7"/>
      <c r="C1" s="7"/>
      <c r="D1" s="7"/>
      <c r="E1" s="7"/>
      <c r="F1" s="7"/>
      <c r="G1" s="7"/>
      <c r="H1" s="7"/>
      <c r="I1" s="250">
        <v>44879</v>
      </c>
    </row>
    <row r="3" spans="1:9" x14ac:dyDescent="0.2">
      <c r="A3" s="1" t="s">
        <v>181</v>
      </c>
    </row>
    <row r="4" spans="1:9" x14ac:dyDescent="0.2">
      <c r="A4" s="1" t="s">
        <v>182</v>
      </c>
    </row>
    <row r="6" spans="1:9" x14ac:dyDescent="0.2">
      <c r="A6" s="1" t="s">
        <v>200</v>
      </c>
    </row>
    <row r="7" spans="1:9" x14ac:dyDescent="0.2">
      <c r="H7" s="35" t="s">
        <v>179</v>
      </c>
    </row>
    <row r="9" spans="1:9" x14ac:dyDescent="0.2">
      <c r="A9" s="34" t="s">
        <v>183</v>
      </c>
      <c r="B9" s="33"/>
      <c r="C9" s="33"/>
      <c r="D9" s="33"/>
      <c r="E9" s="33"/>
      <c r="F9" s="33"/>
      <c r="G9" s="33"/>
      <c r="H9" s="33"/>
      <c r="I9" s="33"/>
    </row>
    <row r="10" spans="1:9" x14ac:dyDescent="0.2">
      <c r="A10" s="1" t="s">
        <v>184</v>
      </c>
    </row>
    <row r="11" spans="1:9" x14ac:dyDescent="0.2">
      <c r="A11" s="1" t="s">
        <v>185</v>
      </c>
    </row>
    <row r="12" spans="1:9" x14ac:dyDescent="0.2">
      <c r="A12" s="1" t="s">
        <v>194</v>
      </c>
    </row>
    <row r="13" spans="1:9" x14ac:dyDescent="0.2">
      <c r="A13" s="1" t="s">
        <v>186</v>
      </c>
    </row>
    <row r="14" spans="1:9" x14ac:dyDescent="0.2">
      <c r="A14" s="1" t="s">
        <v>187</v>
      </c>
    </row>
    <row r="15" spans="1:9" x14ac:dyDescent="0.2">
      <c r="A15" s="1" t="s">
        <v>188</v>
      </c>
    </row>
    <row r="16" spans="1:9" x14ac:dyDescent="0.2">
      <c r="A16" s="1" t="s">
        <v>201</v>
      </c>
    </row>
    <row r="17" spans="1:9" x14ac:dyDescent="0.2">
      <c r="A17" s="1" t="s">
        <v>189</v>
      </c>
    </row>
    <row r="18" spans="1:9" x14ac:dyDescent="0.2">
      <c r="A18" s="1" t="s">
        <v>190</v>
      </c>
    </row>
    <row r="19" spans="1:9" x14ac:dyDescent="0.2">
      <c r="A19" s="1" t="s">
        <v>191</v>
      </c>
    </row>
    <row r="20" spans="1:9" x14ac:dyDescent="0.2">
      <c r="A20" s="1" t="s">
        <v>192</v>
      </c>
    </row>
    <row r="21" spans="1:9" x14ac:dyDescent="0.2">
      <c r="A21" s="1" t="s">
        <v>193</v>
      </c>
    </row>
    <row r="23" spans="1:9" x14ac:dyDescent="0.2">
      <c r="A23" s="33" t="s">
        <v>195</v>
      </c>
      <c r="B23" s="33"/>
      <c r="C23" s="33"/>
      <c r="D23" s="33"/>
      <c r="E23" s="33"/>
      <c r="F23" s="33"/>
      <c r="G23" s="33"/>
      <c r="H23" s="33"/>
      <c r="I23" s="33"/>
    </row>
    <row r="24" spans="1:9" x14ac:dyDescent="0.2">
      <c r="A24" s="33" t="s">
        <v>196</v>
      </c>
      <c r="B24" s="33"/>
      <c r="C24" s="33"/>
      <c r="D24" s="33"/>
      <c r="E24" s="33"/>
      <c r="F24" s="33"/>
      <c r="G24" s="33"/>
      <c r="H24" s="33"/>
      <c r="I24" s="33"/>
    </row>
    <row r="25" spans="1:9" x14ac:dyDescent="0.2">
      <c r="A25" s="33" t="s">
        <v>199</v>
      </c>
      <c r="B25" s="33"/>
      <c r="C25" s="33"/>
      <c r="D25" s="33"/>
      <c r="E25" s="33"/>
      <c r="F25" s="33"/>
      <c r="G25" s="33"/>
      <c r="H25" s="33"/>
      <c r="I25" s="33"/>
    </row>
    <row r="26" spans="1:9" x14ac:dyDescent="0.2">
      <c r="A26" s="33" t="s">
        <v>197</v>
      </c>
      <c r="B26" s="33"/>
      <c r="C26" s="33"/>
      <c r="D26" s="33"/>
      <c r="E26" s="33"/>
      <c r="F26" s="33"/>
      <c r="G26" s="33"/>
      <c r="H26" s="33"/>
      <c r="I26" s="33"/>
    </row>
    <row r="27" spans="1:9" x14ac:dyDescent="0.2">
      <c r="A27" s="33" t="s">
        <v>198</v>
      </c>
      <c r="B27" s="33"/>
      <c r="C27" s="33"/>
      <c r="D27" s="33"/>
      <c r="E27" s="33"/>
      <c r="F27" s="33"/>
      <c r="G27" s="33"/>
      <c r="H27" s="33"/>
      <c r="I27" s="33"/>
    </row>
    <row r="29" spans="1:9" x14ac:dyDescent="0.2">
      <c r="A29" s="1" t="s">
        <v>202</v>
      </c>
    </row>
    <row r="30" spans="1:9" x14ac:dyDescent="0.2">
      <c r="C30" s="37" t="s">
        <v>6</v>
      </c>
      <c r="D30" s="36" t="s">
        <v>72</v>
      </c>
      <c r="E30" s="38" t="s">
        <v>203</v>
      </c>
      <c r="F30" s="839" t="s">
        <v>124</v>
      </c>
      <c r="G30" s="839"/>
      <c r="H30" s="839"/>
    </row>
    <row r="31" spans="1:9" x14ac:dyDescent="0.2">
      <c r="F31" s="6" t="s">
        <v>24</v>
      </c>
      <c r="G31" s="6" t="s">
        <v>204</v>
      </c>
      <c r="H31" s="6" t="s">
        <v>138</v>
      </c>
    </row>
    <row r="32" spans="1:9" x14ac:dyDescent="0.2">
      <c r="A32" s="1" t="s">
        <v>209</v>
      </c>
    </row>
    <row r="33" spans="1:8" x14ac:dyDescent="0.2">
      <c r="C33" s="3" t="s">
        <v>205</v>
      </c>
      <c r="E33" s="838" t="s">
        <v>207</v>
      </c>
      <c r="F33" s="838"/>
      <c r="G33" s="838"/>
      <c r="H33" s="838"/>
    </row>
    <row r="34" spans="1:8" x14ac:dyDescent="0.2">
      <c r="C34" s="3" t="s">
        <v>206</v>
      </c>
      <c r="E34" s="838" t="s">
        <v>208</v>
      </c>
      <c r="F34" s="838"/>
      <c r="G34" s="838"/>
      <c r="H34" s="838"/>
    </row>
    <row r="39" spans="1:8" x14ac:dyDescent="0.2">
      <c r="A39" s="42" t="s">
        <v>194</v>
      </c>
    </row>
    <row r="40" spans="1:8" x14ac:dyDescent="0.2">
      <c r="C40" s="840" t="s">
        <v>6</v>
      </c>
      <c r="D40" s="842" t="s">
        <v>72</v>
      </c>
      <c r="E40" s="38" t="s">
        <v>203</v>
      </c>
      <c r="F40" s="839" t="s">
        <v>124</v>
      </c>
      <c r="G40" s="839"/>
      <c r="H40" s="839"/>
    </row>
    <row r="41" spans="1:8" x14ac:dyDescent="0.2">
      <c r="C41" s="841"/>
      <c r="D41" s="843"/>
      <c r="E41" s="39"/>
      <c r="F41" s="40" t="s">
        <v>24</v>
      </c>
      <c r="G41" s="40" t="s">
        <v>204</v>
      </c>
      <c r="H41" s="40" t="s">
        <v>138</v>
      </c>
    </row>
    <row r="42" spans="1:8" x14ac:dyDescent="0.2">
      <c r="C42" s="6" t="s">
        <v>133</v>
      </c>
    </row>
    <row r="43" spans="1:8" x14ac:dyDescent="0.2">
      <c r="C43" s="41">
        <v>200000</v>
      </c>
      <c r="F43" s="41">
        <v>200000</v>
      </c>
    </row>
    <row r="44" spans="1:8" x14ac:dyDescent="0.2">
      <c r="C44" s="41"/>
      <c r="F44" s="41"/>
    </row>
    <row r="45" spans="1:8" x14ac:dyDescent="0.2">
      <c r="A45" s="1" t="s">
        <v>210</v>
      </c>
      <c r="B45" s="24">
        <f>C43</f>
        <v>200000</v>
      </c>
      <c r="C45" s="41"/>
      <c r="F45" s="41"/>
    </row>
    <row r="46" spans="1:8" x14ac:dyDescent="0.2">
      <c r="A46" s="1" t="s">
        <v>211</v>
      </c>
      <c r="B46" s="24">
        <f>B45</f>
        <v>200000</v>
      </c>
      <c r="C46" s="41"/>
      <c r="F46" s="41"/>
    </row>
    <row r="47" spans="1:8" x14ac:dyDescent="0.2">
      <c r="C47" s="41"/>
      <c r="F47" s="41"/>
    </row>
    <row r="48" spans="1:8" x14ac:dyDescent="0.2">
      <c r="C48" s="41"/>
      <c r="F48" s="41"/>
    </row>
    <row r="49" spans="1:8" x14ac:dyDescent="0.2">
      <c r="C49" s="41"/>
      <c r="F49" s="41"/>
    </row>
    <row r="51" spans="1:8" x14ac:dyDescent="0.2">
      <c r="A51" s="42" t="s">
        <v>186</v>
      </c>
    </row>
    <row r="52" spans="1:8" ht="50" customHeight="1" x14ac:dyDescent="0.2">
      <c r="A52" s="42"/>
      <c r="C52" s="844" t="s">
        <v>212</v>
      </c>
      <c r="D52" s="842" t="s">
        <v>72</v>
      </c>
      <c r="E52" s="845" t="s">
        <v>213</v>
      </c>
      <c r="F52" s="845"/>
      <c r="G52" s="845"/>
      <c r="H52" s="845"/>
    </row>
    <row r="53" spans="1:8" ht="31" customHeight="1" x14ac:dyDescent="0.2">
      <c r="A53" s="42"/>
      <c r="C53" s="841"/>
      <c r="D53" s="843"/>
      <c r="E53" s="43" t="s">
        <v>214</v>
      </c>
      <c r="F53" s="40" t="s">
        <v>24</v>
      </c>
      <c r="G53" s="40" t="s">
        <v>204</v>
      </c>
      <c r="H53" s="40" t="s">
        <v>138</v>
      </c>
    </row>
    <row r="54" spans="1:8" ht="31" customHeight="1" x14ac:dyDescent="0.2">
      <c r="A54" s="42"/>
      <c r="C54" s="6" t="s">
        <v>133</v>
      </c>
    </row>
    <row r="55" spans="1:8" x14ac:dyDescent="0.2">
      <c r="C55" s="41">
        <v>70000</v>
      </c>
      <c r="E55" s="24">
        <v>70000</v>
      </c>
      <c r="F55" s="41"/>
    </row>
    <row r="57" spans="1:8" x14ac:dyDescent="0.2">
      <c r="A57" s="1" t="s">
        <v>210</v>
      </c>
      <c r="C57" s="24">
        <f>C55</f>
        <v>70000</v>
      </c>
    </row>
    <row r="58" spans="1:8" x14ac:dyDescent="0.2">
      <c r="A58" s="1" t="s">
        <v>263</v>
      </c>
      <c r="C58" s="24">
        <f>C57</f>
        <v>70000</v>
      </c>
    </row>
    <row r="61" spans="1:8" x14ac:dyDescent="0.2">
      <c r="A61" s="42" t="s">
        <v>187</v>
      </c>
    </row>
    <row r="62" spans="1:8" ht="50" customHeight="1" x14ac:dyDescent="0.2">
      <c r="A62" s="42"/>
      <c r="C62" s="844" t="s">
        <v>212</v>
      </c>
      <c r="D62" s="842" t="s">
        <v>72</v>
      </c>
      <c r="E62" s="845" t="s">
        <v>213</v>
      </c>
      <c r="F62" s="845"/>
      <c r="G62" s="845"/>
      <c r="H62" s="845"/>
    </row>
    <row r="63" spans="1:8" ht="31" customHeight="1" x14ac:dyDescent="0.2">
      <c r="A63" s="42"/>
      <c r="C63" s="841"/>
      <c r="D63" s="843"/>
      <c r="E63" s="43" t="s">
        <v>214</v>
      </c>
      <c r="F63" s="40" t="s">
        <v>24</v>
      </c>
      <c r="G63" s="40" t="s">
        <v>204</v>
      </c>
      <c r="H63" s="40" t="s">
        <v>138</v>
      </c>
    </row>
    <row r="64" spans="1:8" ht="19" customHeight="1" x14ac:dyDescent="0.2">
      <c r="A64" s="42"/>
      <c r="C64" s="6" t="s">
        <v>133</v>
      </c>
    </row>
    <row r="65" spans="1:8" x14ac:dyDescent="0.2">
      <c r="C65" s="44">
        <v>-7000</v>
      </c>
      <c r="D65" s="44"/>
      <c r="E65" s="44"/>
      <c r="F65" s="44"/>
      <c r="G65" s="44"/>
      <c r="H65" s="44">
        <f>C65</f>
        <v>-7000</v>
      </c>
    </row>
    <row r="66" spans="1:8" x14ac:dyDescent="0.2">
      <c r="C66" s="41"/>
      <c r="E66" s="24"/>
      <c r="F66" s="41"/>
    </row>
    <row r="67" spans="1:8" x14ac:dyDescent="0.2">
      <c r="A67" s="1" t="s">
        <v>77</v>
      </c>
      <c r="B67" s="1" t="s">
        <v>215</v>
      </c>
      <c r="C67" s="41"/>
      <c r="E67" s="24"/>
      <c r="F67" s="41"/>
    </row>
    <row r="68" spans="1:8" x14ac:dyDescent="0.2">
      <c r="C68" s="41"/>
      <c r="E68" s="24"/>
      <c r="F68" s="41"/>
    </row>
    <row r="69" spans="1:8" x14ac:dyDescent="0.2">
      <c r="A69" s="1" t="s">
        <v>216</v>
      </c>
      <c r="C69" s="24">
        <v>7000</v>
      </c>
      <c r="E69" s="24"/>
      <c r="F69" s="41"/>
    </row>
    <row r="70" spans="1:8" x14ac:dyDescent="0.2">
      <c r="A70" s="1" t="s">
        <v>217</v>
      </c>
      <c r="C70" s="45">
        <f>C69</f>
        <v>7000</v>
      </c>
      <c r="E70" s="24"/>
      <c r="F70" s="41"/>
    </row>
    <row r="71" spans="1:8" x14ac:dyDescent="0.2">
      <c r="C71" s="41"/>
      <c r="E71" s="24"/>
      <c r="F71" s="41"/>
    </row>
    <row r="72" spans="1:8" x14ac:dyDescent="0.2">
      <c r="A72" s="1" t="s">
        <v>218</v>
      </c>
      <c r="C72" s="41"/>
      <c r="E72" s="24"/>
      <c r="F72" s="41"/>
    </row>
    <row r="73" spans="1:8" x14ac:dyDescent="0.2">
      <c r="B73" s="1" t="s">
        <v>219</v>
      </c>
      <c r="C73" s="41"/>
      <c r="E73" s="24"/>
      <c r="F73" s="41"/>
    </row>
    <row r="74" spans="1:8" x14ac:dyDescent="0.2">
      <c r="B74" s="1" t="s">
        <v>220</v>
      </c>
      <c r="C74" s="41"/>
      <c r="E74" s="24"/>
      <c r="F74" s="41"/>
    </row>
    <row r="75" spans="1:8" x14ac:dyDescent="0.2">
      <c r="B75" s="1" t="s">
        <v>221</v>
      </c>
      <c r="C75" s="41"/>
      <c r="E75" s="24"/>
      <c r="F75" s="41"/>
    </row>
    <row r="76" spans="1:8" x14ac:dyDescent="0.2">
      <c r="B76" s="2" t="s">
        <v>222</v>
      </c>
      <c r="C76" s="41"/>
      <c r="E76" s="24"/>
      <c r="F76" s="41"/>
    </row>
    <row r="77" spans="1:8" x14ac:dyDescent="0.2">
      <c r="C77" s="41"/>
      <c r="E77" s="24"/>
      <c r="F77" s="41"/>
    </row>
    <row r="78" spans="1:8" x14ac:dyDescent="0.2">
      <c r="C78" s="41"/>
      <c r="E78" s="24"/>
      <c r="F78" s="41"/>
    </row>
    <row r="79" spans="1:8" x14ac:dyDescent="0.2">
      <c r="A79" s="42" t="s">
        <v>188</v>
      </c>
    </row>
    <row r="81" spans="1:8" ht="48" customHeight="1" x14ac:dyDescent="0.2">
      <c r="C81" s="844" t="s">
        <v>212</v>
      </c>
      <c r="D81" s="842" t="s">
        <v>72</v>
      </c>
      <c r="E81" s="845" t="s">
        <v>213</v>
      </c>
      <c r="F81" s="845"/>
      <c r="G81" s="845"/>
      <c r="H81" s="845"/>
    </row>
    <row r="82" spans="1:8" ht="27" customHeight="1" x14ac:dyDescent="0.2">
      <c r="C82" s="841"/>
      <c r="D82" s="843"/>
      <c r="E82" s="43" t="s">
        <v>223</v>
      </c>
      <c r="F82" s="40" t="s">
        <v>24</v>
      </c>
      <c r="G82" s="40" t="s">
        <v>204</v>
      </c>
      <c r="H82" s="40" t="s">
        <v>138</v>
      </c>
    </row>
    <row r="83" spans="1:8" x14ac:dyDescent="0.2">
      <c r="C83" s="46" t="s">
        <v>133</v>
      </c>
      <c r="E83" s="46" t="s">
        <v>16</v>
      </c>
      <c r="H83" s="8"/>
    </row>
    <row r="84" spans="1:8" x14ac:dyDescent="0.2">
      <c r="C84" s="47">
        <v>-10000</v>
      </c>
      <c r="E84" s="48">
        <v>30000</v>
      </c>
      <c r="H84" s="47">
        <v>-40000</v>
      </c>
    </row>
    <row r="86" spans="1:8" x14ac:dyDescent="0.2">
      <c r="A86" s="1" t="s">
        <v>224</v>
      </c>
    </row>
    <row r="87" spans="1:8" x14ac:dyDescent="0.2">
      <c r="A87" s="1" t="s">
        <v>226</v>
      </c>
    </row>
    <row r="88" spans="1:8" x14ac:dyDescent="0.2">
      <c r="A88" s="1" t="s">
        <v>225</v>
      </c>
    </row>
    <row r="90" spans="1:8" x14ac:dyDescent="0.2">
      <c r="A90" s="1" t="s">
        <v>227</v>
      </c>
    </row>
    <row r="92" spans="1:8" x14ac:dyDescent="0.2">
      <c r="A92" s="1" t="s">
        <v>228</v>
      </c>
    </row>
    <row r="93" spans="1:8" x14ac:dyDescent="0.2">
      <c r="A93" s="1" t="s">
        <v>229</v>
      </c>
    </row>
    <row r="95" spans="1:8" x14ac:dyDescent="0.2">
      <c r="A95" s="1" t="s">
        <v>216</v>
      </c>
      <c r="B95" s="24">
        <v>10000</v>
      </c>
    </row>
    <row r="96" spans="1:8" x14ac:dyDescent="0.2">
      <c r="A96" s="1" t="s">
        <v>230</v>
      </c>
      <c r="B96" s="24">
        <v>30000</v>
      </c>
    </row>
    <row r="97" spans="1:8" x14ac:dyDescent="0.2">
      <c r="A97" s="1" t="s">
        <v>231</v>
      </c>
      <c r="B97" s="24">
        <f>40000</f>
        <v>40000</v>
      </c>
    </row>
    <row r="102" spans="1:8" x14ac:dyDescent="0.2">
      <c r="A102" s="42" t="s">
        <v>201</v>
      </c>
    </row>
    <row r="104" spans="1:8" ht="34" customHeight="1" x14ac:dyDescent="0.2">
      <c r="B104" s="844" t="s">
        <v>212</v>
      </c>
      <c r="C104" s="844"/>
      <c r="D104" s="842" t="s">
        <v>72</v>
      </c>
      <c r="E104" s="845" t="s">
        <v>213</v>
      </c>
      <c r="F104" s="845"/>
      <c r="G104" s="845"/>
      <c r="H104" s="845"/>
    </row>
    <row r="105" spans="1:8" ht="17" x14ac:dyDescent="0.2">
      <c r="B105" s="846"/>
      <c r="C105" s="846"/>
      <c r="D105" s="843"/>
      <c r="E105" s="43" t="s">
        <v>223</v>
      </c>
      <c r="F105" s="40" t="s">
        <v>24</v>
      </c>
      <c r="G105" s="40" t="s">
        <v>204</v>
      </c>
      <c r="H105" s="40" t="s">
        <v>138</v>
      </c>
    </row>
    <row r="106" spans="1:8" x14ac:dyDescent="0.2">
      <c r="B106" s="46" t="s">
        <v>133</v>
      </c>
      <c r="C106" s="46" t="s">
        <v>14</v>
      </c>
      <c r="E106" s="46"/>
      <c r="H106" s="8"/>
    </row>
    <row r="107" spans="1:8" x14ac:dyDescent="0.2">
      <c r="B107" s="48">
        <v>44000</v>
      </c>
      <c r="C107" s="47">
        <v>56000</v>
      </c>
      <c r="E107" s="48"/>
      <c r="G107" s="48">
        <v>100000</v>
      </c>
      <c r="H107" s="47"/>
    </row>
    <row r="109" spans="1:8" x14ac:dyDescent="0.2">
      <c r="A109" s="1" t="s">
        <v>232</v>
      </c>
    </row>
    <row r="110" spans="1:8" x14ac:dyDescent="0.2">
      <c r="A110" s="1" t="s">
        <v>233</v>
      </c>
    </row>
    <row r="112" spans="1:8" x14ac:dyDescent="0.2">
      <c r="A112" s="1" t="s">
        <v>234</v>
      </c>
      <c r="E112" s="24">
        <v>100000</v>
      </c>
    </row>
    <row r="113" spans="1:8" x14ac:dyDescent="0.2">
      <c r="A113" s="1" t="s">
        <v>235</v>
      </c>
      <c r="E113" s="24">
        <v>44000</v>
      </c>
    </row>
    <row r="114" spans="1:8" x14ac:dyDescent="0.2">
      <c r="A114" s="1" t="s">
        <v>236</v>
      </c>
      <c r="E114" s="49">
        <f>E112-E113</f>
        <v>56000</v>
      </c>
      <c r="G114" s="1" t="s">
        <v>237</v>
      </c>
    </row>
    <row r="116" spans="1:8" x14ac:dyDescent="0.2">
      <c r="A116" s="1" t="s">
        <v>238</v>
      </c>
    </row>
    <row r="117" spans="1:8" x14ac:dyDescent="0.2">
      <c r="A117" s="1" t="s">
        <v>210</v>
      </c>
      <c r="B117" s="24">
        <v>44000</v>
      </c>
    </row>
    <row r="118" spans="1:8" x14ac:dyDescent="0.2">
      <c r="A118" s="1" t="s">
        <v>239</v>
      </c>
      <c r="B118" s="24">
        <v>56000</v>
      </c>
    </row>
    <row r="119" spans="1:8" x14ac:dyDescent="0.2">
      <c r="A119" s="1" t="s">
        <v>240</v>
      </c>
      <c r="B119" s="24">
        <f>G107</f>
        <v>100000</v>
      </c>
    </row>
    <row r="121" spans="1:8" x14ac:dyDescent="0.2">
      <c r="A121" s="42" t="s">
        <v>189</v>
      </c>
    </row>
    <row r="123" spans="1:8" ht="34" customHeight="1" x14ac:dyDescent="0.2">
      <c r="B123" s="844" t="s">
        <v>212</v>
      </c>
      <c r="C123" s="844"/>
      <c r="D123" s="842" t="s">
        <v>72</v>
      </c>
      <c r="E123" s="845" t="s">
        <v>213</v>
      </c>
      <c r="F123" s="845"/>
      <c r="G123" s="845"/>
      <c r="H123" s="845"/>
    </row>
    <row r="124" spans="1:8" ht="17" x14ac:dyDescent="0.2">
      <c r="B124" s="846"/>
      <c r="C124" s="846"/>
      <c r="D124" s="843"/>
      <c r="E124" s="43" t="s">
        <v>223</v>
      </c>
      <c r="F124" s="40" t="s">
        <v>24</v>
      </c>
      <c r="G124" s="40" t="s">
        <v>204</v>
      </c>
      <c r="H124" s="40" t="s">
        <v>138</v>
      </c>
    </row>
    <row r="125" spans="1:8" x14ac:dyDescent="0.2">
      <c r="B125" s="46" t="s">
        <v>133</v>
      </c>
      <c r="C125" s="46"/>
      <c r="E125" s="46"/>
      <c r="H125" s="8"/>
    </row>
    <row r="126" spans="1:8" x14ac:dyDescent="0.2">
      <c r="B126" s="47">
        <v>-15000</v>
      </c>
      <c r="C126" s="47"/>
      <c r="E126" s="48"/>
      <c r="G126" s="48"/>
      <c r="H126" s="47">
        <f>B126</f>
        <v>-15000</v>
      </c>
    </row>
    <row r="128" spans="1:8" x14ac:dyDescent="0.2">
      <c r="A128" s="1" t="s">
        <v>238</v>
      </c>
    </row>
    <row r="129" spans="1:8" x14ac:dyDescent="0.2">
      <c r="A129" s="1" t="s">
        <v>216</v>
      </c>
      <c r="C129" s="24">
        <v>15000</v>
      </c>
    </row>
    <row r="130" spans="1:8" x14ac:dyDescent="0.2">
      <c r="A130" s="1" t="s">
        <v>241</v>
      </c>
      <c r="C130" s="24">
        <f>C129</f>
        <v>15000</v>
      </c>
    </row>
    <row r="133" spans="1:8" x14ac:dyDescent="0.2">
      <c r="A133" s="42" t="s">
        <v>190</v>
      </c>
    </row>
    <row r="135" spans="1:8" x14ac:dyDescent="0.2">
      <c r="A135" s="1" t="s">
        <v>238</v>
      </c>
      <c r="E135" s="1" t="s">
        <v>243</v>
      </c>
    </row>
    <row r="136" spans="1:8" x14ac:dyDescent="0.2">
      <c r="A136" s="1" t="s">
        <v>216</v>
      </c>
      <c r="C136" s="24">
        <v>4000</v>
      </c>
    </row>
    <row r="137" spans="1:8" x14ac:dyDescent="0.2">
      <c r="A137" s="1" t="s">
        <v>242</v>
      </c>
      <c r="C137" s="24">
        <f>C136</f>
        <v>4000</v>
      </c>
    </row>
    <row r="138" spans="1:8" x14ac:dyDescent="0.2">
      <c r="C138" s="24"/>
    </row>
    <row r="139" spans="1:8" x14ac:dyDescent="0.2">
      <c r="A139" s="42" t="s">
        <v>244</v>
      </c>
      <c r="B139" s="42"/>
      <c r="C139" s="42"/>
      <c r="D139" s="42"/>
    </row>
    <row r="141" spans="1:8" ht="57" customHeight="1" x14ac:dyDescent="0.2">
      <c r="B141" s="844" t="s">
        <v>212</v>
      </c>
      <c r="C141" s="844"/>
      <c r="D141" s="842" t="s">
        <v>72</v>
      </c>
      <c r="E141" s="845" t="s">
        <v>213</v>
      </c>
      <c r="F141" s="845"/>
      <c r="G141" s="845"/>
      <c r="H141" s="845"/>
    </row>
    <row r="142" spans="1:8" ht="33" customHeight="1" x14ac:dyDescent="0.2">
      <c r="B142" s="846"/>
      <c r="C142" s="846"/>
      <c r="D142" s="843"/>
      <c r="E142" s="50" t="s">
        <v>223</v>
      </c>
      <c r="F142" s="40" t="s">
        <v>24</v>
      </c>
      <c r="G142" s="40" t="s">
        <v>204</v>
      </c>
      <c r="H142" s="40" t="s">
        <v>138</v>
      </c>
    </row>
    <row r="143" spans="1:8" x14ac:dyDescent="0.2">
      <c r="B143" s="46" t="s">
        <v>133</v>
      </c>
      <c r="C143" s="46" t="s">
        <v>245</v>
      </c>
      <c r="E143" s="46" t="s">
        <v>16</v>
      </c>
      <c r="H143" s="8"/>
    </row>
    <row r="144" spans="1:8" x14ac:dyDescent="0.2">
      <c r="B144" s="47">
        <v>-5000</v>
      </c>
      <c r="C144" s="47">
        <v>8000</v>
      </c>
      <c r="E144" s="48">
        <v>3000</v>
      </c>
      <c r="G144" s="48"/>
      <c r="H144" s="47"/>
    </row>
    <row r="146" spans="1:9" x14ac:dyDescent="0.2">
      <c r="A146" s="1" t="s">
        <v>77</v>
      </c>
      <c r="B146" s="1" t="s">
        <v>250</v>
      </c>
    </row>
    <row r="148" spans="1:9" x14ac:dyDescent="0.2">
      <c r="A148" s="1" t="s">
        <v>246</v>
      </c>
      <c r="E148" s="47">
        <v>-5000</v>
      </c>
    </row>
    <row r="149" spans="1:9" x14ac:dyDescent="0.2">
      <c r="A149" s="1" t="s">
        <v>247</v>
      </c>
    </row>
    <row r="150" spans="1:9" x14ac:dyDescent="0.2">
      <c r="A150" s="1" t="s">
        <v>249</v>
      </c>
      <c r="I150" s="1" t="s">
        <v>248</v>
      </c>
    </row>
    <row r="152" spans="1:9" x14ac:dyDescent="0.2">
      <c r="A152" s="1" t="s">
        <v>238</v>
      </c>
    </row>
    <row r="153" spans="1:9" x14ac:dyDescent="0.2">
      <c r="B153" s="1" t="s">
        <v>216</v>
      </c>
      <c r="C153" s="24">
        <v>5000</v>
      </c>
      <c r="D153" s="1" t="s">
        <v>252</v>
      </c>
    </row>
    <row r="154" spans="1:9" x14ac:dyDescent="0.2">
      <c r="B154" s="1" t="s">
        <v>251</v>
      </c>
      <c r="C154" s="24">
        <v>8000</v>
      </c>
      <c r="D154" s="1" t="s">
        <v>253</v>
      </c>
    </row>
    <row r="155" spans="1:9" x14ac:dyDescent="0.2">
      <c r="B155" s="1" t="s">
        <v>230</v>
      </c>
      <c r="C155" s="24">
        <v>3000</v>
      </c>
      <c r="D155" s="1" t="s">
        <v>254</v>
      </c>
    </row>
    <row r="158" spans="1:9" x14ac:dyDescent="0.2">
      <c r="A158" s="42" t="s">
        <v>192</v>
      </c>
    </row>
    <row r="160" spans="1:9" ht="57" customHeight="1" x14ac:dyDescent="0.2">
      <c r="B160" s="844" t="s">
        <v>212</v>
      </c>
      <c r="C160" s="844"/>
      <c r="D160" s="842" t="s">
        <v>72</v>
      </c>
      <c r="E160" s="845" t="s">
        <v>213</v>
      </c>
      <c r="F160" s="845"/>
      <c r="G160" s="845"/>
      <c r="H160" s="845"/>
    </row>
    <row r="161" spans="1:8" ht="33" customHeight="1" x14ac:dyDescent="0.2">
      <c r="B161" s="846"/>
      <c r="C161" s="846"/>
      <c r="D161" s="843"/>
      <c r="E161" s="50" t="s">
        <v>223</v>
      </c>
      <c r="F161" s="40" t="s">
        <v>24</v>
      </c>
      <c r="G161" s="40" t="s">
        <v>204</v>
      </c>
      <c r="H161" s="40" t="s">
        <v>138</v>
      </c>
    </row>
    <row r="162" spans="1:8" ht="34" x14ac:dyDescent="0.2">
      <c r="B162" s="46" t="s">
        <v>133</v>
      </c>
      <c r="C162" s="46"/>
      <c r="E162" s="51" t="s">
        <v>255</v>
      </c>
      <c r="H162" s="8"/>
    </row>
    <row r="163" spans="1:8" x14ac:dyDescent="0.2">
      <c r="B163" s="47">
        <v>10000</v>
      </c>
      <c r="C163" s="47"/>
      <c r="E163" s="48">
        <f>B163</f>
        <v>10000</v>
      </c>
      <c r="G163" s="48"/>
      <c r="H163" s="47"/>
    </row>
    <row r="165" spans="1:8" x14ac:dyDescent="0.2">
      <c r="A165" s="1" t="s">
        <v>238</v>
      </c>
    </row>
    <row r="166" spans="1:8" x14ac:dyDescent="0.2">
      <c r="A166" s="1" t="s">
        <v>210</v>
      </c>
      <c r="C166" s="24">
        <v>10000</v>
      </c>
    </row>
    <row r="167" spans="1:8" x14ac:dyDescent="0.2">
      <c r="A167" s="1" t="s">
        <v>256</v>
      </c>
      <c r="C167" s="24">
        <f>E163</f>
        <v>10000</v>
      </c>
    </row>
    <row r="170" spans="1:8" x14ac:dyDescent="0.2">
      <c r="A170" s="42" t="s">
        <v>193</v>
      </c>
    </row>
    <row r="172" spans="1:8" ht="57" customHeight="1" x14ac:dyDescent="0.2">
      <c r="B172" s="844" t="s">
        <v>212</v>
      </c>
      <c r="C172" s="844"/>
      <c r="D172" s="842" t="s">
        <v>72</v>
      </c>
      <c r="E172" s="845" t="s">
        <v>213</v>
      </c>
      <c r="F172" s="845"/>
      <c r="G172" s="845"/>
      <c r="H172" s="845"/>
    </row>
    <row r="173" spans="1:8" ht="33" customHeight="1" x14ac:dyDescent="0.2">
      <c r="B173" s="846"/>
      <c r="C173" s="846"/>
      <c r="D173" s="843"/>
      <c r="E173" s="50" t="s">
        <v>223</v>
      </c>
      <c r="F173" s="40" t="s">
        <v>24</v>
      </c>
      <c r="G173" s="40" t="s">
        <v>204</v>
      </c>
      <c r="H173" s="40" t="s">
        <v>138</v>
      </c>
    </row>
    <row r="174" spans="1:8" x14ac:dyDescent="0.2">
      <c r="B174" s="46" t="s">
        <v>133</v>
      </c>
      <c r="C174" s="46"/>
      <c r="E174" s="51"/>
      <c r="H174" s="8"/>
    </row>
    <row r="175" spans="1:8" x14ac:dyDescent="0.2">
      <c r="B175" s="47">
        <v>-20000</v>
      </c>
      <c r="C175" s="47"/>
      <c r="E175" s="48"/>
      <c r="G175" s="48"/>
      <c r="H175" s="47">
        <f>B175</f>
        <v>-20000</v>
      </c>
    </row>
    <row r="177" spans="1:9" x14ac:dyDescent="0.2">
      <c r="A177" s="1" t="s">
        <v>264</v>
      </c>
      <c r="C177" s="23">
        <v>20000</v>
      </c>
    </row>
    <row r="178" spans="1:9" x14ac:dyDescent="0.2">
      <c r="A178" s="1" t="s">
        <v>216</v>
      </c>
      <c r="C178" s="23">
        <v>20000</v>
      </c>
    </row>
    <row r="182" spans="1:9" x14ac:dyDescent="0.2">
      <c r="A182" s="53" t="s">
        <v>273</v>
      </c>
      <c r="B182" s="53"/>
      <c r="C182" s="53"/>
      <c r="D182" s="53"/>
      <c r="E182" s="53"/>
      <c r="F182" s="53"/>
      <c r="G182" s="53"/>
      <c r="H182" s="53"/>
      <c r="I182" s="53"/>
    </row>
    <row r="184" spans="1:9" x14ac:dyDescent="0.2">
      <c r="A184" s="2" t="s">
        <v>257</v>
      </c>
    </row>
    <row r="185" spans="1:9" x14ac:dyDescent="0.2">
      <c r="A185" s="2" t="s">
        <v>274</v>
      </c>
    </row>
    <row r="186" spans="1:9" x14ac:dyDescent="0.2">
      <c r="A186" s="2"/>
    </row>
    <row r="188" spans="1:9" x14ac:dyDescent="0.2">
      <c r="B188" s="847" t="s">
        <v>133</v>
      </c>
      <c r="C188" s="847"/>
      <c r="E188" s="847" t="s">
        <v>258</v>
      </c>
      <c r="F188" s="847"/>
      <c r="H188" s="847" t="s">
        <v>259</v>
      </c>
      <c r="I188" s="847"/>
    </row>
    <row r="189" spans="1:9" x14ac:dyDescent="0.2">
      <c r="B189" s="9" t="s">
        <v>155</v>
      </c>
      <c r="C189" s="36" t="s">
        <v>156</v>
      </c>
      <c r="E189" s="36" t="s">
        <v>155</v>
      </c>
      <c r="F189" s="36" t="s">
        <v>156</v>
      </c>
      <c r="H189" s="36" t="s">
        <v>155</v>
      </c>
      <c r="I189" s="36" t="s">
        <v>156</v>
      </c>
    </row>
    <row r="190" spans="1:9" x14ac:dyDescent="0.2">
      <c r="A190" s="54" t="s">
        <v>275</v>
      </c>
      <c r="B190" s="41">
        <v>200000</v>
      </c>
      <c r="C190" s="41">
        <v>7000</v>
      </c>
      <c r="D190" s="1" t="s">
        <v>279</v>
      </c>
      <c r="E190" s="24">
        <f>C190</f>
        <v>7000</v>
      </c>
      <c r="G190" s="54" t="s">
        <v>280</v>
      </c>
      <c r="H190" s="24">
        <v>40000</v>
      </c>
    </row>
    <row r="191" spans="1:9" x14ac:dyDescent="0.2">
      <c r="A191" s="54" t="s">
        <v>276</v>
      </c>
      <c r="B191" s="41">
        <v>70000</v>
      </c>
      <c r="C191" s="41">
        <v>10000</v>
      </c>
      <c r="D191" s="1" t="s">
        <v>280</v>
      </c>
    </row>
    <row r="192" spans="1:9" x14ac:dyDescent="0.2">
      <c r="A192" s="54" t="s">
        <v>277</v>
      </c>
      <c r="B192" s="41">
        <v>44000</v>
      </c>
      <c r="C192" s="41">
        <v>15000</v>
      </c>
      <c r="D192" s="1" t="s">
        <v>281</v>
      </c>
    </row>
    <row r="193" spans="1:9" x14ac:dyDescent="0.2">
      <c r="A193" s="54" t="s">
        <v>278</v>
      </c>
      <c r="B193" s="41">
        <v>10000</v>
      </c>
      <c r="C193" s="41">
        <v>4000</v>
      </c>
      <c r="D193" s="1" t="s">
        <v>282</v>
      </c>
    </row>
    <row r="194" spans="1:9" x14ac:dyDescent="0.2">
      <c r="B194" s="41"/>
      <c r="C194" s="41">
        <v>5000</v>
      </c>
      <c r="D194" s="1" t="s">
        <v>283</v>
      </c>
    </row>
    <row r="195" spans="1:9" x14ac:dyDescent="0.2">
      <c r="B195" s="41"/>
      <c r="C195" s="41">
        <v>20000</v>
      </c>
      <c r="D195" s="1" t="s">
        <v>284</v>
      </c>
    </row>
    <row r="196" spans="1:9" ht="17" thickBot="1" x14ac:dyDescent="0.25">
      <c r="A196" s="1" t="s">
        <v>285</v>
      </c>
      <c r="B196" s="56">
        <f>SUM(B190:B195)</f>
        <v>324000</v>
      </c>
      <c r="C196" s="55">
        <f>SUM(C190:C195)</f>
        <v>61000</v>
      </c>
    </row>
    <row r="197" spans="1:9" ht="19" thickBot="1" x14ac:dyDescent="0.25">
      <c r="A197" s="1" t="s">
        <v>286</v>
      </c>
      <c r="B197" s="57">
        <f>B196-C196</f>
        <v>263000</v>
      </c>
      <c r="C197" s="24"/>
    </row>
    <row r="199" spans="1:9" x14ac:dyDescent="0.2">
      <c r="B199" s="847" t="s">
        <v>24</v>
      </c>
      <c r="C199" s="847"/>
      <c r="E199" s="847" t="s">
        <v>16</v>
      </c>
      <c r="F199" s="847"/>
      <c r="H199" s="847" t="s">
        <v>14</v>
      </c>
      <c r="I199" s="847"/>
    </row>
    <row r="200" spans="1:9" x14ac:dyDescent="0.2">
      <c r="B200" s="36" t="s">
        <v>155</v>
      </c>
      <c r="C200" s="36" t="s">
        <v>156</v>
      </c>
      <c r="E200" s="36" t="s">
        <v>155</v>
      </c>
      <c r="F200" s="36" t="s">
        <v>156</v>
      </c>
      <c r="H200" s="36" t="s">
        <v>155</v>
      </c>
      <c r="I200" s="36" t="s">
        <v>156</v>
      </c>
    </row>
    <row r="201" spans="1:9" x14ac:dyDescent="0.2">
      <c r="C201" s="24">
        <f>B190</f>
        <v>200000</v>
      </c>
      <c r="D201" s="1" t="s">
        <v>275</v>
      </c>
      <c r="F201" s="24">
        <v>30000</v>
      </c>
      <c r="G201" s="1" t="s">
        <v>287</v>
      </c>
      <c r="H201" s="24">
        <v>56000</v>
      </c>
    </row>
    <row r="202" spans="1:9" ht="17" thickBot="1" x14ac:dyDescent="0.25">
      <c r="F202" s="24">
        <v>3000</v>
      </c>
      <c r="G202" s="1" t="s">
        <v>283</v>
      </c>
    </row>
    <row r="203" spans="1:9" ht="19" thickBot="1" x14ac:dyDescent="0.25">
      <c r="F203" s="58">
        <f>F201+F202</f>
        <v>33000</v>
      </c>
      <c r="G203" s="1" t="s">
        <v>286</v>
      </c>
    </row>
    <row r="205" spans="1:9" x14ac:dyDescent="0.2">
      <c r="B205" s="847" t="s">
        <v>267</v>
      </c>
      <c r="C205" s="847"/>
      <c r="E205" s="847" t="s">
        <v>68</v>
      </c>
      <c r="F205" s="847"/>
      <c r="H205" s="847" t="s">
        <v>260</v>
      </c>
      <c r="I205" s="847"/>
    </row>
    <row r="206" spans="1:9" x14ac:dyDescent="0.2">
      <c r="B206" s="36" t="s">
        <v>155</v>
      </c>
      <c r="C206" s="36" t="s">
        <v>156</v>
      </c>
      <c r="E206" s="36" t="s">
        <v>155</v>
      </c>
      <c r="F206" s="36" t="s">
        <v>156</v>
      </c>
      <c r="H206" s="36" t="s">
        <v>155</v>
      </c>
      <c r="I206" s="36" t="s">
        <v>156</v>
      </c>
    </row>
    <row r="207" spans="1:9" x14ac:dyDescent="0.2">
      <c r="C207" s="24">
        <f>B191</f>
        <v>70000</v>
      </c>
      <c r="D207" s="1" t="s">
        <v>276</v>
      </c>
      <c r="F207" s="24">
        <v>100000</v>
      </c>
      <c r="G207" s="1" t="s">
        <v>288</v>
      </c>
      <c r="H207" s="24">
        <v>15000</v>
      </c>
    </row>
    <row r="210" spans="1:9" x14ac:dyDescent="0.2">
      <c r="E210" s="847" t="s">
        <v>261</v>
      </c>
      <c r="F210" s="847"/>
      <c r="H210" s="847" t="s">
        <v>245</v>
      </c>
      <c r="I210" s="847"/>
    </row>
    <row r="211" spans="1:9" x14ac:dyDescent="0.2">
      <c r="E211" s="36" t="s">
        <v>155</v>
      </c>
      <c r="F211" s="36" t="s">
        <v>156</v>
      </c>
      <c r="H211" s="36" t="s">
        <v>155</v>
      </c>
      <c r="I211" s="36" t="s">
        <v>156</v>
      </c>
    </row>
    <row r="212" spans="1:9" x14ac:dyDescent="0.2">
      <c r="D212" s="54" t="s">
        <v>282</v>
      </c>
      <c r="E212" s="24">
        <v>4000</v>
      </c>
      <c r="G212" s="54" t="s">
        <v>283</v>
      </c>
      <c r="H212" s="24">
        <v>8000</v>
      </c>
    </row>
    <row r="216" spans="1:9" x14ac:dyDescent="0.2">
      <c r="E216" s="847" t="s">
        <v>271</v>
      </c>
      <c r="F216" s="847"/>
      <c r="H216" s="847" t="s">
        <v>262</v>
      </c>
      <c r="I216" s="847"/>
    </row>
    <row r="217" spans="1:9" x14ac:dyDescent="0.2">
      <c r="E217" s="36" t="s">
        <v>155</v>
      </c>
      <c r="F217" s="36" t="s">
        <v>156</v>
      </c>
      <c r="H217" s="36" t="s">
        <v>155</v>
      </c>
      <c r="I217" s="36" t="s">
        <v>156</v>
      </c>
    </row>
    <row r="218" spans="1:9" x14ac:dyDescent="0.2">
      <c r="F218" s="24">
        <v>10000</v>
      </c>
      <c r="G218" s="1" t="s">
        <v>289</v>
      </c>
      <c r="H218" s="24">
        <v>20000</v>
      </c>
    </row>
    <row r="221" spans="1:9" x14ac:dyDescent="0.2">
      <c r="A221" s="2" t="s">
        <v>290</v>
      </c>
    </row>
    <row r="222" spans="1:9" x14ac:dyDescent="0.2">
      <c r="A222" s="1" t="s">
        <v>291</v>
      </c>
    </row>
    <row r="223" spans="1:9" x14ac:dyDescent="0.2">
      <c r="A223" s="1" t="s">
        <v>292</v>
      </c>
    </row>
    <row r="224" spans="1:9" x14ac:dyDescent="0.2">
      <c r="C224" s="1" t="s">
        <v>293</v>
      </c>
    </row>
    <row r="225" spans="1:7" x14ac:dyDescent="0.2">
      <c r="C225" s="1" t="s">
        <v>294</v>
      </c>
    </row>
    <row r="227" spans="1:7" x14ac:dyDescent="0.2">
      <c r="A227" s="2" t="s">
        <v>295</v>
      </c>
    </row>
    <row r="228" spans="1:7" ht="17" thickBot="1" x14ac:dyDescent="0.25"/>
    <row r="229" spans="1:7" ht="17" thickBot="1" x14ac:dyDescent="0.25">
      <c r="B229" s="848" t="s">
        <v>296</v>
      </c>
      <c r="C229" s="848"/>
      <c r="D229" s="848" t="s">
        <v>297</v>
      </c>
      <c r="E229" s="848"/>
      <c r="F229" s="849" t="s">
        <v>298</v>
      </c>
      <c r="G229" s="850"/>
    </row>
    <row r="230" spans="1:7" x14ac:dyDescent="0.2">
      <c r="A230" s="67" t="s">
        <v>9</v>
      </c>
      <c r="B230" s="36" t="s">
        <v>155</v>
      </c>
      <c r="C230" s="36" t="s">
        <v>156</v>
      </c>
      <c r="D230" s="36" t="s">
        <v>155</v>
      </c>
      <c r="E230" s="36" t="s">
        <v>156</v>
      </c>
      <c r="F230" s="59" t="s">
        <v>155</v>
      </c>
      <c r="G230" s="60" t="s">
        <v>156</v>
      </c>
    </row>
    <row r="231" spans="1:7" x14ac:dyDescent="0.2">
      <c r="A231" s="68" t="s">
        <v>133</v>
      </c>
      <c r="B231" s="24"/>
      <c r="D231" s="41">
        <v>324000</v>
      </c>
      <c r="E231" s="41">
        <v>61000</v>
      </c>
      <c r="F231" s="61">
        <f>B231+D231-C231-E231</f>
        <v>263000</v>
      </c>
      <c r="G231" s="62"/>
    </row>
    <row r="232" spans="1:7" x14ac:dyDescent="0.2">
      <c r="A232" s="68" t="s">
        <v>265</v>
      </c>
      <c r="D232" s="41">
        <v>7000</v>
      </c>
      <c r="E232" s="6"/>
      <c r="F232" s="61">
        <f>D232</f>
        <v>7000</v>
      </c>
      <c r="G232" s="62"/>
    </row>
    <row r="233" spans="1:7" x14ac:dyDescent="0.2">
      <c r="A233" s="68" t="s">
        <v>259</v>
      </c>
      <c r="D233" s="41">
        <v>40000</v>
      </c>
      <c r="E233" s="6"/>
      <c r="F233" s="61">
        <f>D233</f>
        <v>40000</v>
      </c>
      <c r="G233" s="62"/>
    </row>
    <row r="234" spans="1:7" x14ac:dyDescent="0.2">
      <c r="A234" s="68" t="s">
        <v>24</v>
      </c>
      <c r="D234" s="6"/>
      <c r="E234" s="41">
        <v>200000</v>
      </c>
      <c r="F234" s="63"/>
      <c r="G234" s="64">
        <f>E234</f>
        <v>200000</v>
      </c>
    </row>
    <row r="235" spans="1:7" x14ac:dyDescent="0.2">
      <c r="A235" s="68" t="s">
        <v>16</v>
      </c>
      <c r="D235" s="6"/>
      <c r="E235" s="41">
        <v>33000</v>
      </c>
      <c r="F235" s="63"/>
      <c r="G235" s="64">
        <f>E235</f>
        <v>33000</v>
      </c>
    </row>
    <row r="236" spans="1:7" x14ac:dyDescent="0.2">
      <c r="A236" s="68" t="s">
        <v>14</v>
      </c>
      <c r="D236" s="41">
        <v>56000</v>
      </c>
      <c r="E236" s="6"/>
      <c r="F236" s="61">
        <f>D236</f>
        <v>56000</v>
      </c>
      <c r="G236" s="62"/>
    </row>
    <row r="237" spans="1:7" x14ac:dyDescent="0.2">
      <c r="A237" s="68" t="s">
        <v>266</v>
      </c>
      <c r="D237" s="6"/>
      <c r="E237" s="41">
        <v>70000</v>
      </c>
      <c r="F237" s="63"/>
      <c r="G237" s="64">
        <f>E237</f>
        <v>70000</v>
      </c>
    </row>
    <row r="238" spans="1:7" x14ac:dyDescent="0.2">
      <c r="A238" s="68" t="s">
        <v>68</v>
      </c>
      <c r="D238" s="6"/>
      <c r="E238" s="41">
        <v>100000</v>
      </c>
      <c r="F238" s="63"/>
      <c r="G238" s="64">
        <f>E238</f>
        <v>100000</v>
      </c>
    </row>
    <row r="239" spans="1:7" x14ac:dyDescent="0.2">
      <c r="A239" s="68" t="s">
        <v>268</v>
      </c>
      <c r="D239" s="41">
        <v>15000</v>
      </c>
      <c r="E239" s="6"/>
      <c r="F239" s="61">
        <f>D239</f>
        <v>15000</v>
      </c>
      <c r="G239" s="62"/>
    </row>
    <row r="240" spans="1:7" x14ac:dyDescent="0.2">
      <c r="A240" s="68" t="s">
        <v>269</v>
      </c>
      <c r="D240" s="41">
        <v>4000</v>
      </c>
      <c r="E240" s="6"/>
      <c r="F240" s="61">
        <f>D240</f>
        <v>4000</v>
      </c>
      <c r="G240" s="62"/>
    </row>
    <row r="241" spans="1:7" x14ac:dyDescent="0.2">
      <c r="A241" s="68" t="s">
        <v>245</v>
      </c>
      <c r="D241" s="41">
        <v>8000</v>
      </c>
      <c r="E241" s="6"/>
      <c r="F241" s="61">
        <f>D241</f>
        <v>8000</v>
      </c>
      <c r="G241" s="62"/>
    </row>
    <row r="242" spans="1:7" x14ac:dyDescent="0.2">
      <c r="A242" s="68" t="s">
        <v>270</v>
      </c>
      <c r="D242" s="6"/>
      <c r="E242" s="41">
        <v>10000</v>
      </c>
      <c r="F242" s="63"/>
      <c r="G242" s="64">
        <f>E242</f>
        <v>10000</v>
      </c>
    </row>
    <row r="243" spans="1:7" x14ac:dyDescent="0.2">
      <c r="A243" s="68" t="s">
        <v>262</v>
      </c>
      <c r="D243" s="41">
        <v>20000</v>
      </c>
      <c r="E243" s="6"/>
      <c r="F243" s="61">
        <f>D243</f>
        <v>20000</v>
      </c>
      <c r="G243" s="62"/>
    </row>
    <row r="244" spans="1:7" ht="17" thickBot="1" x14ac:dyDescent="0.25">
      <c r="A244" s="69" t="s">
        <v>272</v>
      </c>
      <c r="B244" s="52"/>
      <c r="C244" s="52"/>
      <c r="D244" s="55">
        <f>SUM(D231:D243)</f>
        <v>474000</v>
      </c>
      <c r="E244" s="55">
        <f>SUM(E231:E243)</f>
        <v>474000</v>
      </c>
      <c r="F244" s="65">
        <f>SUM(F231:F243)</f>
        <v>413000</v>
      </c>
      <c r="G244" s="66">
        <f>SUM(G231:G243)</f>
        <v>413000</v>
      </c>
    </row>
  </sheetData>
  <mergeCells count="46">
    <mergeCell ref="B229:C229"/>
    <mergeCell ref="D229:E229"/>
    <mergeCell ref="F229:G229"/>
    <mergeCell ref="B205:C205"/>
    <mergeCell ref="E205:F205"/>
    <mergeCell ref="H205:I205"/>
    <mergeCell ref="E210:F210"/>
    <mergeCell ref="H210:I210"/>
    <mergeCell ref="E216:F216"/>
    <mergeCell ref="H216:I216"/>
    <mergeCell ref="B188:C188"/>
    <mergeCell ref="E188:F188"/>
    <mergeCell ref="H188:I188"/>
    <mergeCell ref="B199:C199"/>
    <mergeCell ref="E199:F199"/>
    <mergeCell ref="H199:I199"/>
    <mergeCell ref="B160:C161"/>
    <mergeCell ref="D160:D161"/>
    <mergeCell ref="E160:H160"/>
    <mergeCell ref="B172:C173"/>
    <mergeCell ref="D172:D173"/>
    <mergeCell ref="E172:H172"/>
    <mergeCell ref="B123:C124"/>
    <mergeCell ref="D123:D124"/>
    <mergeCell ref="E123:H123"/>
    <mergeCell ref="B141:C142"/>
    <mergeCell ref="D141:D142"/>
    <mergeCell ref="E141:H141"/>
    <mergeCell ref="C81:C82"/>
    <mergeCell ref="D81:D82"/>
    <mergeCell ref="E81:H81"/>
    <mergeCell ref="D104:D105"/>
    <mergeCell ref="E104:H104"/>
    <mergeCell ref="B104:C105"/>
    <mergeCell ref="C52:C53"/>
    <mergeCell ref="D52:D53"/>
    <mergeCell ref="E52:H52"/>
    <mergeCell ref="C62:C63"/>
    <mergeCell ref="D62:D63"/>
    <mergeCell ref="E62:H62"/>
    <mergeCell ref="E33:H33"/>
    <mergeCell ref="E34:H34"/>
    <mergeCell ref="F30:H30"/>
    <mergeCell ref="F40:H40"/>
    <mergeCell ref="C40:C41"/>
    <mergeCell ref="D40:D41"/>
  </mergeCells>
  <hyperlinks>
    <hyperlink ref="H7" r:id="rId1" xr:uid="{B60FFE7C-DEFE-BC4B-B491-7DF49EBF9FE6}"/>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4D937-4A4A-C84F-8E6B-7B7650A74B14}">
  <dimension ref="A1:K398"/>
  <sheetViews>
    <sheetView rightToLeft="1" topLeftCell="A312" zoomScale="310" zoomScaleNormal="310" workbookViewId="0">
      <selection activeCell="I281" sqref="I281"/>
    </sheetView>
  </sheetViews>
  <sheetFormatPr baseColWidth="10" defaultRowHeight="16" x14ac:dyDescent="0.2"/>
  <cols>
    <col min="1" max="1" width="10.83203125" style="1"/>
    <col min="2" max="3" width="12.33203125" style="1" customWidth="1"/>
    <col min="4" max="4" width="16.5" style="1" customWidth="1"/>
    <col min="5" max="6" width="10.83203125" style="1"/>
    <col min="7" max="7" width="12.5" style="1" customWidth="1"/>
    <col min="8" max="8" width="10.5" style="1" customWidth="1"/>
    <col min="9" max="9" width="13.83203125" style="1" customWidth="1"/>
    <col min="10" max="16384" width="10.83203125" style="1"/>
  </cols>
  <sheetData>
    <row r="1" spans="1:9" ht="36" x14ac:dyDescent="0.4">
      <c r="A1" s="11" t="s">
        <v>1679</v>
      </c>
      <c r="B1" s="3"/>
      <c r="C1" s="3"/>
      <c r="D1" s="3"/>
      <c r="E1" s="3"/>
      <c r="F1" s="3"/>
      <c r="G1" s="3"/>
      <c r="H1" s="249">
        <v>45980</v>
      </c>
    </row>
    <row r="2" spans="1:9" x14ac:dyDescent="0.2">
      <c r="A2" s="79" t="s">
        <v>1693</v>
      </c>
      <c r="B2" s="79"/>
      <c r="C2" s="79"/>
      <c r="D2" s="79"/>
      <c r="E2" s="281" t="s">
        <v>1692</v>
      </c>
      <c r="F2" s="79"/>
      <c r="G2" s="79"/>
      <c r="H2" s="79"/>
    </row>
    <row r="3" spans="1:9" ht="21" x14ac:dyDescent="0.25">
      <c r="A3" s="425" t="s">
        <v>2398</v>
      </c>
      <c r="B3" s="79"/>
      <c r="C3" s="79"/>
      <c r="D3" s="79"/>
      <c r="E3" s="281"/>
      <c r="F3" s="79"/>
      <c r="G3" s="79"/>
      <c r="H3" s="79"/>
    </row>
    <row r="4" spans="1:9" x14ac:dyDescent="0.2">
      <c r="A4" s="2" t="s">
        <v>299</v>
      </c>
    </row>
    <row r="5" spans="1:9" x14ac:dyDescent="0.2">
      <c r="A5" s="1" t="s">
        <v>300</v>
      </c>
    </row>
    <row r="6" spans="1:9" x14ac:dyDescent="0.2">
      <c r="A6" s="1" t="s">
        <v>301</v>
      </c>
    </row>
    <row r="7" spans="1:9" x14ac:dyDescent="0.2">
      <c r="A7" s="1" t="s">
        <v>302</v>
      </c>
    </row>
    <row r="8" spans="1:9" x14ac:dyDescent="0.2">
      <c r="A8" s="1" t="s">
        <v>303</v>
      </c>
    </row>
    <row r="10" spans="1:9" x14ac:dyDescent="0.2">
      <c r="A10" s="2" t="s">
        <v>2399</v>
      </c>
    </row>
    <row r="11" spans="1:9" x14ac:dyDescent="0.2">
      <c r="A11" s="1" t="s">
        <v>2400</v>
      </c>
      <c r="I11" s="2" t="s">
        <v>3639</v>
      </c>
    </row>
    <row r="12" spans="1:9" x14ac:dyDescent="0.2">
      <c r="A12" s="1" t="s">
        <v>304</v>
      </c>
      <c r="I12" s="2" t="s">
        <v>3640</v>
      </c>
    </row>
    <row r="13" spans="1:9" x14ac:dyDescent="0.2">
      <c r="A13" s="1" t="s">
        <v>305</v>
      </c>
      <c r="I13" s="2" t="s">
        <v>3641</v>
      </c>
    </row>
    <row r="14" spans="1:9" x14ac:dyDescent="0.2">
      <c r="A14" s="1" t="s">
        <v>306</v>
      </c>
      <c r="I14" s="2" t="s">
        <v>3642</v>
      </c>
    </row>
    <row r="16" spans="1:9" x14ac:dyDescent="0.2">
      <c r="A16" s="2" t="s">
        <v>307</v>
      </c>
    </row>
    <row r="18" spans="1:10" x14ac:dyDescent="0.2">
      <c r="A18" s="3" t="s">
        <v>3679</v>
      </c>
      <c r="B18" s="3"/>
      <c r="C18" s="3"/>
      <c r="D18" s="3"/>
      <c r="E18" s="3"/>
      <c r="F18" s="3"/>
      <c r="G18" s="3"/>
      <c r="H18" s="3"/>
    </row>
    <row r="28" spans="1:10" x14ac:dyDescent="0.2">
      <c r="A28" s="1" t="s">
        <v>3680</v>
      </c>
      <c r="F28" s="1" t="s">
        <v>3693</v>
      </c>
      <c r="J28" s="1" t="s">
        <v>3700</v>
      </c>
    </row>
    <row r="29" spans="1:10" x14ac:dyDescent="0.2">
      <c r="A29" s="1" t="s">
        <v>3681</v>
      </c>
      <c r="F29" s="1" t="s">
        <v>3694</v>
      </c>
      <c r="J29" s="1" t="s">
        <v>3701</v>
      </c>
    </row>
    <row r="30" spans="1:10" x14ac:dyDescent="0.2">
      <c r="A30" s="1" t="s">
        <v>3682</v>
      </c>
      <c r="F30" s="1" t="s">
        <v>3695</v>
      </c>
      <c r="J30" s="1" t="s">
        <v>3702</v>
      </c>
    </row>
    <row r="31" spans="1:10" x14ac:dyDescent="0.2">
      <c r="A31" s="1" t="s">
        <v>3683</v>
      </c>
      <c r="F31" s="1" t="s">
        <v>3696</v>
      </c>
      <c r="J31" s="1" t="s">
        <v>3703</v>
      </c>
    </row>
    <row r="32" spans="1:10" x14ac:dyDescent="0.2">
      <c r="F32" s="1" t="s">
        <v>3697</v>
      </c>
      <c r="J32" s="1" t="s">
        <v>3704</v>
      </c>
    </row>
    <row r="33" spans="1:10" x14ac:dyDescent="0.2">
      <c r="A33" s="1" t="s">
        <v>3684</v>
      </c>
      <c r="F33" s="1" t="s">
        <v>3698</v>
      </c>
      <c r="J33" s="1" t="s">
        <v>3705</v>
      </c>
    </row>
    <row r="34" spans="1:10" x14ac:dyDescent="0.2">
      <c r="A34" s="1" t="s">
        <v>3685</v>
      </c>
      <c r="F34" s="1" t="s">
        <v>3699</v>
      </c>
      <c r="J34" s="1" t="s">
        <v>3706</v>
      </c>
    </row>
    <row r="35" spans="1:10" x14ac:dyDescent="0.2">
      <c r="A35" s="1" t="s">
        <v>3686</v>
      </c>
    </row>
    <row r="36" spans="1:10" x14ac:dyDescent="0.2">
      <c r="A36" s="1" t="s">
        <v>3687</v>
      </c>
    </row>
    <row r="37" spans="1:10" x14ac:dyDescent="0.2">
      <c r="A37" s="1" t="s">
        <v>3688</v>
      </c>
    </row>
    <row r="38" spans="1:10" x14ac:dyDescent="0.2">
      <c r="A38" s="1" t="s">
        <v>3689</v>
      </c>
    </row>
    <row r="39" spans="1:10" x14ac:dyDescent="0.2">
      <c r="A39" s="1" t="s">
        <v>3690</v>
      </c>
    </row>
    <row r="41" spans="1:10" x14ac:dyDescent="0.2">
      <c r="A41" s="1" t="s">
        <v>3691</v>
      </c>
    </row>
    <row r="42" spans="1:10" x14ac:dyDescent="0.2">
      <c r="A42" s="1" t="s">
        <v>3692</v>
      </c>
    </row>
    <row r="44" spans="1:10" x14ac:dyDescent="0.2">
      <c r="A44" s="3" t="s">
        <v>3707</v>
      </c>
      <c r="B44" s="3"/>
      <c r="C44" s="3"/>
      <c r="D44" s="3"/>
      <c r="E44" s="3"/>
      <c r="F44" s="3"/>
      <c r="G44" s="3"/>
      <c r="H44" s="3"/>
    </row>
    <row r="45" spans="1:10" ht="17" thickBot="1" x14ac:dyDescent="0.25"/>
    <row r="46" spans="1:10" x14ac:dyDescent="0.2">
      <c r="A46" s="18" t="s">
        <v>3708</v>
      </c>
      <c r="B46" s="19"/>
      <c r="C46" s="18" t="s">
        <v>3711</v>
      </c>
      <c r="D46" s="19"/>
      <c r="E46" s="18" t="s">
        <v>3723</v>
      </c>
      <c r="F46" s="19"/>
      <c r="G46" s="18" t="s">
        <v>328</v>
      </c>
      <c r="H46" s="19"/>
    </row>
    <row r="47" spans="1:10" x14ac:dyDescent="0.2">
      <c r="A47" s="106" t="s">
        <v>3715</v>
      </c>
      <c r="B47" s="107"/>
      <c r="C47" s="106" t="s">
        <v>3712</v>
      </c>
      <c r="D47" s="107"/>
      <c r="E47" s="106" t="s">
        <v>2999</v>
      </c>
      <c r="F47" s="107"/>
      <c r="G47" s="106" t="s">
        <v>3717</v>
      </c>
      <c r="H47" s="107"/>
    </row>
    <row r="48" spans="1:10" x14ac:dyDescent="0.2">
      <c r="A48" s="106" t="s">
        <v>3722</v>
      </c>
      <c r="B48" s="107"/>
      <c r="C48" s="106" t="s">
        <v>3716</v>
      </c>
      <c r="D48" s="107"/>
      <c r="E48" s="106"/>
      <c r="F48" s="107"/>
      <c r="G48" s="106" t="s">
        <v>3718</v>
      </c>
      <c r="H48" s="107"/>
    </row>
    <row r="49" spans="1:10" x14ac:dyDescent="0.2">
      <c r="A49" s="106"/>
      <c r="B49" s="107"/>
      <c r="C49" s="106"/>
      <c r="D49" s="107"/>
      <c r="E49" s="106"/>
      <c r="F49" s="107"/>
      <c r="G49" s="106" t="s">
        <v>3719</v>
      </c>
      <c r="H49" s="107"/>
    </row>
    <row r="50" spans="1:10" x14ac:dyDescent="0.2">
      <c r="A50" s="106" t="s">
        <v>3709</v>
      </c>
      <c r="B50" s="107"/>
      <c r="C50" s="106" t="s">
        <v>3713</v>
      </c>
      <c r="D50" s="107"/>
      <c r="E50" s="106"/>
      <c r="F50" s="107"/>
      <c r="G50" s="106" t="s">
        <v>3720</v>
      </c>
      <c r="H50" s="107"/>
    </row>
    <row r="51" spans="1:10" ht="17" thickBot="1" x14ac:dyDescent="0.25">
      <c r="A51" s="20" t="s">
        <v>3710</v>
      </c>
      <c r="B51" s="21"/>
      <c r="C51" s="20" t="s">
        <v>3714</v>
      </c>
      <c r="D51" s="21"/>
      <c r="E51" s="20"/>
      <c r="F51" s="21"/>
      <c r="G51" s="20" t="s">
        <v>3721</v>
      </c>
      <c r="H51" s="21"/>
    </row>
    <row r="53" spans="1:10" x14ac:dyDescent="0.2">
      <c r="A53" s="3" t="s">
        <v>3724</v>
      </c>
      <c r="B53" s="3"/>
      <c r="C53" s="3"/>
      <c r="D53" s="3"/>
      <c r="E53" s="3"/>
      <c r="F53" s="3"/>
      <c r="G53" s="3"/>
      <c r="H53" s="187" t="s">
        <v>3766</v>
      </c>
      <c r="I53" s="110"/>
      <c r="J53" s="110"/>
    </row>
    <row r="54" spans="1:10" x14ac:dyDescent="0.2">
      <c r="A54" s="1" t="s">
        <v>3725</v>
      </c>
      <c r="H54" s="110" t="s">
        <v>3767</v>
      </c>
      <c r="I54" s="110"/>
      <c r="J54" s="110"/>
    </row>
    <row r="55" spans="1:10" x14ac:dyDescent="0.2">
      <c r="A55" s="1" t="s">
        <v>3726</v>
      </c>
    </row>
    <row r="57" spans="1:10" ht="68" x14ac:dyDescent="0.2">
      <c r="C57" s="25" t="s">
        <v>319</v>
      </c>
      <c r="D57" s="559" t="s">
        <v>3727</v>
      </c>
      <c r="E57" s="585" t="s">
        <v>3728</v>
      </c>
    </row>
    <row r="58" spans="1:10" x14ac:dyDescent="0.2">
      <c r="C58" s="1">
        <v>2020</v>
      </c>
      <c r="D58" s="3">
        <v>100</v>
      </c>
      <c r="E58" s="5">
        <v>140</v>
      </c>
    </row>
    <row r="59" spans="1:10" x14ac:dyDescent="0.2">
      <c r="C59" s="1">
        <v>2021</v>
      </c>
      <c r="D59" s="3">
        <v>150</v>
      </c>
      <c r="E59" s="5">
        <v>160</v>
      </c>
    </row>
    <row r="60" spans="1:10" x14ac:dyDescent="0.2">
      <c r="C60" s="1">
        <v>2022</v>
      </c>
      <c r="D60" s="3">
        <v>350</v>
      </c>
      <c r="E60" s="5">
        <v>80</v>
      </c>
    </row>
    <row r="61" spans="1:10" x14ac:dyDescent="0.2">
      <c r="C61" s="1">
        <v>2023</v>
      </c>
      <c r="D61" s="3">
        <v>300</v>
      </c>
      <c r="E61" s="5">
        <v>520</v>
      </c>
    </row>
    <row r="63" spans="1:10" x14ac:dyDescent="0.2">
      <c r="A63" s="1" t="s">
        <v>195</v>
      </c>
    </row>
    <row r="64" spans="1:10" x14ac:dyDescent="0.2">
      <c r="A64" s="1" t="s">
        <v>3729</v>
      </c>
    </row>
    <row r="65" spans="1:11" x14ac:dyDescent="0.2">
      <c r="A65" s="1" t="s">
        <v>3730</v>
      </c>
    </row>
    <row r="66" spans="1:11" x14ac:dyDescent="0.2">
      <c r="A66" s="1" t="s">
        <v>3731</v>
      </c>
    </row>
    <row r="67" spans="1:11" x14ac:dyDescent="0.2">
      <c r="A67" s="1" t="s">
        <v>3732</v>
      </c>
    </row>
    <row r="69" spans="1:11" x14ac:dyDescent="0.2">
      <c r="A69" s="1" t="s">
        <v>3733</v>
      </c>
    </row>
    <row r="70" spans="1:11" x14ac:dyDescent="0.2">
      <c r="D70" s="3" t="s">
        <v>3734</v>
      </c>
      <c r="E70" s="3"/>
      <c r="F70" s="5" t="s">
        <v>320</v>
      </c>
      <c r="G70" s="1" t="s">
        <v>3739</v>
      </c>
      <c r="I70" s="1" t="s">
        <v>3737</v>
      </c>
    </row>
    <row r="71" spans="1:11" x14ac:dyDescent="0.2">
      <c r="C71" s="25" t="s">
        <v>319</v>
      </c>
      <c r="D71" s="73" t="s">
        <v>3735</v>
      </c>
      <c r="E71" s="73"/>
      <c r="F71" s="297" t="s">
        <v>3736</v>
      </c>
      <c r="G71" s="25" t="s">
        <v>3740</v>
      </c>
      <c r="H71" s="25"/>
      <c r="I71" s="25" t="s">
        <v>3738</v>
      </c>
      <c r="J71" s="25"/>
    </row>
    <row r="72" spans="1:11" ht="51" customHeight="1" x14ac:dyDescent="0.2">
      <c r="C72" s="1">
        <v>2020</v>
      </c>
      <c r="D72" s="30" t="s">
        <v>3665</v>
      </c>
      <c r="F72" s="1">
        <v>140</v>
      </c>
      <c r="G72" s="1" t="s">
        <v>3743</v>
      </c>
      <c r="I72" s="851" t="s">
        <v>3746</v>
      </c>
      <c r="J72" s="851"/>
    </row>
    <row r="73" spans="1:11" ht="51" customHeight="1" x14ac:dyDescent="0.2">
      <c r="C73" s="1">
        <v>2021</v>
      </c>
      <c r="D73" s="30" t="s">
        <v>3741</v>
      </c>
      <c r="F73" s="1">
        <v>160</v>
      </c>
      <c r="G73" s="1" t="s">
        <v>3744</v>
      </c>
      <c r="I73" s="854" t="s">
        <v>3747</v>
      </c>
      <c r="J73" s="854"/>
    </row>
    <row r="74" spans="1:11" ht="50" customHeight="1" x14ac:dyDescent="0.2">
      <c r="C74" s="1">
        <v>2022</v>
      </c>
      <c r="D74" s="30" t="s">
        <v>3742</v>
      </c>
      <c r="F74" s="1">
        <v>80</v>
      </c>
      <c r="G74" s="1" t="s">
        <v>3745</v>
      </c>
      <c r="I74" s="854" t="s">
        <v>3748</v>
      </c>
      <c r="J74" s="855"/>
    </row>
    <row r="75" spans="1:11" ht="43" customHeight="1" x14ac:dyDescent="0.2">
      <c r="C75" s="1">
        <v>2023</v>
      </c>
      <c r="D75" s="30" t="s">
        <v>3011</v>
      </c>
      <c r="F75" s="1">
        <v>520</v>
      </c>
      <c r="G75" s="1">
        <v>0</v>
      </c>
      <c r="I75" s="854" t="s">
        <v>3749</v>
      </c>
      <c r="J75" s="854"/>
    </row>
    <row r="77" spans="1:11" x14ac:dyDescent="0.2">
      <c r="A77" s="3" t="s">
        <v>3750</v>
      </c>
      <c r="B77" s="3"/>
      <c r="C77" s="3"/>
      <c r="D77" s="3"/>
      <c r="E77" s="3"/>
      <c r="F77" s="3"/>
      <c r="G77" s="3"/>
      <c r="H77" s="3"/>
      <c r="I77" s="187" t="s">
        <v>3766</v>
      </c>
      <c r="J77" s="110"/>
      <c r="K77" s="110"/>
    </row>
    <row r="78" spans="1:11" x14ac:dyDescent="0.2">
      <c r="A78" s="1" t="s">
        <v>3751</v>
      </c>
      <c r="I78" s="110" t="s">
        <v>3767</v>
      </c>
      <c r="J78" s="110"/>
      <c r="K78" s="110"/>
    </row>
    <row r="79" spans="1:11" x14ac:dyDescent="0.2">
      <c r="A79" s="1" t="s">
        <v>3752</v>
      </c>
    </row>
    <row r="81" spans="1:10" ht="68" x14ac:dyDescent="0.2">
      <c r="C81" s="25" t="s">
        <v>319</v>
      </c>
      <c r="D81" s="559" t="s">
        <v>3727</v>
      </c>
      <c r="E81" s="585" t="s">
        <v>3728</v>
      </c>
    </row>
    <row r="82" spans="1:10" x14ac:dyDescent="0.2">
      <c r="C82" s="1">
        <v>2020</v>
      </c>
      <c r="D82" s="3">
        <v>200</v>
      </c>
      <c r="E82" s="5">
        <v>20</v>
      </c>
    </row>
    <row r="83" spans="1:10" x14ac:dyDescent="0.2">
      <c r="C83" s="1">
        <v>2021</v>
      </c>
      <c r="D83" s="3">
        <v>200</v>
      </c>
      <c r="E83" s="5">
        <v>300</v>
      </c>
    </row>
    <row r="84" spans="1:10" x14ac:dyDescent="0.2">
      <c r="C84" s="1">
        <v>2022</v>
      </c>
      <c r="D84" s="3">
        <v>400</v>
      </c>
      <c r="E84" s="5">
        <v>450</v>
      </c>
    </row>
    <row r="85" spans="1:10" x14ac:dyDescent="0.2">
      <c r="C85" s="1">
        <v>2023</v>
      </c>
      <c r="D85" s="3">
        <v>450</v>
      </c>
      <c r="E85" s="5">
        <f>E86-E84-E83-E82</f>
        <v>480</v>
      </c>
    </row>
    <row r="86" spans="1:10" x14ac:dyDescent="0.2">
      <c r="C86" s="1" t="s">
        <v>272</v>
      </c>
      <c r="D86" s="1">
        <f>SUM(D82:D85)</f>
        <v>1250</v>
      </c>
      <c r="E86" s="1">
        <f>D86</f>
        <v>1250</v>
      </c>
    </row>
    <row r="87" spans="1:10" x14ac:dyDescent="0.2">
      <c r="A87" s="1" t="s">
        <v>195</v>
      </c>
    </row>
    <row r="88" spans="1:10" x14ac:dyDescent="0.2">
      <c r="A88" s="1" t="s">
        <v>3729</v>
      </c>
    </row>
    <row r="89" spans="1:10" x14ac:dyDescent="0.2">
      <c r="A89" s="1" t="s">
        <v>3730</v>
      </c>
    </row>
    <row r="90" spans="1:10" x14ac:dyDescent="0.2">
      <c r="A90" s="1" t="s">
        <v>3731</v>
      </c>
    </row>
    <row r="91" spans="1:10" x14ac:dyDescent="0.2">
      <c r="A91" s="1" t="s">
        <v>3732</v>
      </c>
    </row>
    <row r="93" spans="1:10" x14ac:dyDescent="0.2">
      <c r="D93" s="3" t="s">
        <v>3734</v>
      </c>
      <c r="E93" s="3"/>
      <c r="F93" s="5" t="s">
        <v>320</v>
      </c>
      <c r="G93" s="369" t="s">
        <v>3739</v>
      </c>
      <c r="H93" s="369"/>
      <c r="I93" s="447" t="s">
        <v>3737</v>
      </c>
      <c r="J93" s="447"/>
    </row>
    <row r="94" spans="1:10" x14ac:dyDescent="0.2">
      <c r="C94" s="25" t="s">
        <v>319</v>
      </c>
      <c r="D94" s="73" t="s">
        <v>3735</v>
      </c>
      <c r="E94" s="73"/>
      <c r="F94" s="297" t="s">
        <v>3736</v>
      </c>
      <c r="G94" s="586" t="s">
        <v>3740</v>
      </c>
      <c r="H94" s="586"/>
      <c r="I94" s="587" t="s">
        <v>3738</v>
      </c>
      <c r="J94" s="587"/>
    </row>
    <row r="95" spans="1:10" ht="51" customHeight="1" x14ac:dyDescent="0.2">
      <c r="C95" s="1">
        <v>2020</v>
      </c>
      <c r="D95" s="851" t="s">
        <v>3753</v>
      </c>
      <c r="E95" s="851"/>
      <c r="F95" s="30" t="s">
        <v>3754</v>
      </c>
      <c r="G95" s="853" t="s">
        <v>3755</v>
      </c>
      <c r="H95" s="853"/>
      <c r="I95" s="860" t="s">
        <v>3756</v>
      </c>
      <c r="J95" s="860"/>
    </row>
    <row r="96" spans="1:10" ht="51" customHeight="1" x14ac:dyDescent="0.2">
      <c r="C96" s="1">
        <v>2021</v>
      </c>
      <c r="D96" s="851" t="s">
        <v>3753</v>
      </c>
      <c r="E96" s="851"/>
      <c r="F96" s="30" t="s">
        <v>3754</v>
      </c>
      <c r="G96" s="852"/>
      <c r="H96" s="852"/>
      <c r="I96" s="858"/>
      <c r="J96" s="858"/>
    </row>
    <row r="97" spans="2:10" ht="50" customHeight="1" x14ac:dyDescent="0.2">
      <c r="C97" s="1">
        <v>2022</v>
      </c>
      <c r="D97" s="851" t="s">
        <v>3753</v>
      </c>
      <c r="E97" s="851"/>
      <c r="F97" s="30" t="s">
        <v>3754</v>
      </c>
      <c r="G97" s="852"/>
      <c r="H97" s="852"/>
      <c r="I97" s="858"/>
      <c r="J97" s="858"/>
    </row>
    <row r="98" spans="2:10" ht="101" customHeight="1" x14ac:dyDescent="0.2">
      <c r="C98" s="1">
        <v>2023</v>
      </c>
      <c r="D98" s="851" t="s">
        <v>3753</v>
      </c>
      <c r="E98" s="851"/>
      <c r="F98" s="30" t="s">
        <v>3754</v>
      </c>
      <c r="G98" s="852"/>
      <c r="H98" s="852"/>
      <c r="I98" s="858"/>
      <c r="J98" s="858"/>
    </row>
    <row r="101" spans="2:10" ht="51" x14ac:dyDescent="0.2">
      <c r="B101" s="25" t="s">
        <v>319</v>
      </c>
      <c r="C101" s="559" t="s">
        <v>3727</v>
      </c>
      <c r="D101" s="585" t="s">
        <v>3728</v>
      </c>
    </row>
    <row r="102" spans="2:10" x14ac:dyDescent="0.2">
      <c r="B102" s="1">
        <v>2020</v>
      </c>
      <c r="C102" s="3">
        <v>200</v>
      </c>
      <c r="D102" s="5">
        <v>20</v>
      </c>
    </row>
    <row r="103" spans="2:10" x14ac:dyDescent="0.2">
      <c r="B103" s="1">
        <v>2021</v>
      </c>
      <c r="C103" s="3">
        <v>200</v>
      </c>
      <c r="D103" s="5">
        <v>300</v>
      </c>
    </row>
    <row r="104" spans="2:10" x14ac:dyDescent="0.2">
      <c r="B104" s="1">
        <v>2022</v>
      </c>
      <c r="C104" s="3">
        <v>400</v>
      </c>
      <c r="D104" s="5">
        <v>450</v>
      </c>
    </row>
    <row r="105" spans="2:10" x14ac:dyDescent="0.2">
      <c r="B105" s="1">
        <v>2023</v>
      </c>
      <c r="C105" s="3">
        <v>450</v>
      </c>
      <c r="D105" s="5">
        <f>D106-D104-D103-D102</f>
        <v>480</v>
      </c>
    </row>
    <row r="106" spans="2:10" x14ac:dyDescent="0.2">
      <c r="B106" s="1" t="s">
        <v>272</v>
      </c>
      <c r="C106" s="1">
        <f>SUM(C102:C105)</f>
        <v>1250</v>
      </c>
      <c r="D106" s="1">
        <f>C106</f>
        <v>1250</v>
      </c>
    </row>
    <row r="108" spans="2:10" x14ac:dyDescent="0.2">
      <c r="D108" s="3" t="s">
        <v>3734</v>
      </c>
      <c r="E108" s="3"/>
      <c r="F108" s="5" t="s">
        <v>320</v>
      </c>
      <c r="G108" s="369" t="s">
        <v>3739</v>
      </c>
      <c r="H108" s="369"/>
      <c r="I108" s="447" t="s">
        <v>3737</v>
      </c>
      <c r="J108" s="447"/>
    </row>
    <row r="109" spans="2:10" x14ac:dyDescent="0.2">
      <c r="C109" s="25" t="s">
        <v>319</v>
      </c>
      <c r="D109" s="73" t="s">
        <v>3735</v>
      </c>
      <c r="E109" s="73"/>
      <c r="F109" s="297" t="s">
        <v>3736</v>
      </c>
      <c r="G109" s="586" t="s">
        <v>3740</v>
      </c>
      <c r="H109" s="586"/>
      <c r="I109" s="587" t="s">
        <v>3738</v>
      </c>
      <c r="J109" s="587"/>
    </row>
    <row r="110" spans="2:10" ht="51" customHeight="1" x14ac:dyDescent="0.2">
      <c r="C110" s="1">
        <v>2020</v>
      </c>
      <c r="D110" s="851" t="s">
        <v>3666</v>
      </c>
      <c r="E110" s="851"/>
      <c r="F110" s="30">
        <v>20</v>
      </c>
      <c r="G110" s="853" t="s">
        <v>3759</v>
      </c>
      <c r="H110" s="853"/>
      <c r="I110" s="860" t="s">
        <v>3762</v>
      </c>
      <c r="J110" s="860"/>
    </row>
    <row r="111" spans="2:10" ht="51" customHeight="1" x14ac:dyDescent="0.2">
      <c r="C111" s="1">
        <v>2021</v>
      </c>
      <c r="D111" s="851" t="s">
        <v>3666</v>
      </c>
      <c r="E111" s="851"/>
      <c r="F111" s="30">
        <v>300</v>
      </c>
      <c r="G111" s="852" t="s">
        <v>3760</v>
      </c>
      <c r="H111" s="852"/>
      <c r="I111" s="858" t="s">
        <v>3763</v>
      </c>
      <c r="J111" s="858"/>
    </row>
    <row r="112" spans="2:10" ht="50" customHeight="1" x14ac:dyDescent="0.2">
      <c r="C112" s="1">
        <v>2022</v>
      </c>
      <c r="D112" s="851" t="s">
        <v>3757</v>
      </c>
      <c r="E112" s="851"/>
      <c r="F112" s="30">
        <v>450</v>
      </c>
      <c r="G112" s="852" t="s">
        <v>3761</v>
      </c>
      <c r="H112" s="852"/>
      <c r="I112" s="858" t="s">
        <v>3764</v>
      </c>
      <c r="J112" s="858"/>
    </row>
    <row r="113" spans="3:10" ht="44" customHeight="1" x14ac:dyDescent="0.2">
      <c r="C113" s="1">
        <v>2023</v>
      </c>
      <c r="D113" s="851" t="s">
        <v>3758</v>
      </c>
      <c r="E113" s="851"/>
      <c r="F113" s="30">
        <v>480</v>
      </c>
      <c r="G113" s="852">
        <v>0</v>
      </c>
      <c r="H113" s="852"/>
      <c r="I113" s="858" t="s">
        <v>3765</v>
      </c>
      <c r="J113" s="858"/>
    </row>
    <row r="177" spans="1:11" x14ac:dyDescent="0.2">
      <c r="A177" s="34" t="s">
        <v>308</v>
      </c>
      <c r="B177" s="33"/>
      <c r="C177" s="33"/>
      <c r="D177" s="33"/>
      <c r="E177" s="33"/>
      <c r="F177" s="33"/>
      <c r="G177" s="33"/>
      <c r="H177" s="33"/>
      <c r="I177" s="187" t="s">
        <v>3768</v>
      </c>
      <c r="J177" s="110"/>
      <c r="K177" s="110"/>
    </row>
    <row r="178" spans="1:11" x14ac:dyDescent="0.2">
      <c r="A178" s="1" t="s">
        <v>2986</v>
      </c>
      <c r="I178" s="110" t="s">
        <v>3769</v>
      </c>
      <c r="J178" s="110"/>
      <c r="K178" s="110"/>
    </row>
    <row r="179" spans="1:11" x14ac:dyDescent="0.2">
      <c r="A179" s="1" t="s">
        <v>309</v>
      </c>
    </row>
    <row r="181" spans="1:11" x14ac:dyDescent="0.2">
      <c r="B181" s="1" t="s">
        <v>314</v>
      </c>
      <c r="C181" s="3" t="s">
        <v>312</v>
      </c>
      <c r="D181" s="5" t="s">
        <v>310</v>
      </c>
    </row>
    <row r="182" spans="1:11" x14ac:dyDescent="0.2">
      <c r="B182" s="1" t="s">
        <v>315</v>
      </c>
      <c r="C182" s="3" t="s">
        <v>313</v>
      </c>
      <c r="D182" s="5" t="s">
        <v>311</v>
      </c>
    </row>
    <row r="183" spans="1:11" x14ac:dyDescent="0.2">
      <c r="B183" s="25" t="s">
        <v>316</v>
      </c>
      <c r="C183" s="73" t="s">
        <v>317</v>
      </c>
      <c r="D183" s="71" t="s">
        <v>317</v>
      </c>
    </row>
    <row r="184" spans="1:11" x14ac:dyDescent="0.2">
      <c r="B184" s="1">
        <v>2016</v>
      </c>
      <c r="C184" s="75">
        <v>0</v>
      </c>
      <c r="D184" s="242">
        <v>100</v>
      </c>
    </row>
    <row r="185" spans="1:11" x14ac:dyDescent="0.2">
      <c r="B185" s="1">
        <v>2017</v>
      </c>
      <c r="C185" s="75">
        <v>420</v>
      </c>
      <c r="D185" s="242">
        <v>200</v>
      </c>
    </row>
    <row r="186" spans="1:11" x14ac:dyDescent="0.2">
      <c r="B186" s="1">
        <v>2018</v>
      </c>
      <c r="C186" s="75">
        <v>80</v>
      </c>
      <c r="D186" s="242">
        <v>150</v>
      </c>
    </row>
    <row r="187" spans="1:11" x14ac:dyDescent="0.2">
      <c r="B187" s="1">
        <v>2019</v>
      </c>
      <c r="C187" s="75">
        <v>300</v>
      </c>
      <c r="D187" s="242">
        <v>300</v>
      </c>
    </row>
    <row r="188" spans="1:11" x14ac:dyDescent="0.2">
      <c r="B188" s="1">
        <v>2020</v>
      </c>
      <c r="C188" s="75">
        <v>50</v>
      </c>
      <c r="D188" s="242">
        <v>100</v>
      </c>
    </row>
    <row r="189" spans="1:11" x14ac:dyDescent="0.2">
      <c r="B189" s="1" t="s">
        <v>272</v>
      </c>
      <c r="C189" s="280">
        <f>SUM(C184:C188)</f>
        <v>850</v>
      </c>
      <c r="D189" s="279">
        <f>SUM(D184:D188)</f>
        <v>850</v>
      </c>
    </row>
    <row r="191" spans="1:11" x14ac:dyDescent="0.2">
      <c r="A191" s="1" t="s">
        <v>318</v>
      </c>
    </row>
    <row r="193" spans="1:11" x14ac:dyDescent="0.2">
      <c r="A193" s="492" t="s">
        <v>3007</v>
      </c>
    </row>
    <row r="194" spans="1:11" x14ac:dyDescent="0.2">
      <c r="B194" s="2" t="s">
        <v>779</v>
      </c>
      <c r="C194" s="2" t="s">
        <v>780</v>
      </c>
      <c r="D194" s="2" t="s">
        <v>782</v>
      </c>
      <c r="F194" s="2" t="s">
        <v>781</v>
      </c>
      <c r="I194" s="1" t="s">
        <v>3004</v>
      </c>
    </row>
    <row r="195" spans="1:11" x14ac:dyDescent="0.2">
      <c r="B195" s="75" t="s">
        <v>2987</v>
      </c>
      <c r="C195" s="5" t="s">
        <v>2991</v>
      </c>
      <c r="D195" s="13" t="s">
        <v>2999</v>
      </c>
      <c r="E195" s="13"/>
      <c r="F195" s="77" t="s">
        <v>3002</v>
      </c>
      <c r="G195" s="77"/>
      <c r="I195" s="13" t="s">
        <v>3005</v>
      </c>
      <c r="J195" s="13"/>
      <c r="K195" s="13"/>
    </row>
    <row r="196" spans="1:11" x14ac:dyDescent="0.2">
      <c r="B196" s="75" t="s">
        <v>2988</v>
      </c>
      <c r="C196" s="5" t="s">
        <v>2988</v>
      </c>
      <c r="D196" s="110" t="s">
        <v>3003</v>
      </c>
      <c r="E196" s="13"/>
      <c r="F196" s="77" t="s">
        <v>2995</v>
      </c>
      <c r="G196" s="77"/>
      <c r="I196" s="13" t="s">
        <v>3006</v>
      </c>
      <c r="J196" s="13"/>
      <c r="K196" s="13"/>
    </row>
    <row r="197" spans="1:11" x14ac:dyDescent="0.2">
      <c r="B197" s="75" t="s">
        <v>2989</v>
      </c>
      <c r="C197" s="5" t="s">
        <v>2992</v>
      </c>
      <c r="D197" s="13" t="s">
        <v>3000</v>
      </c>
      <c r="E197" s="13"/>
      <c r="F197" s="84" t="s">
        <v>2996</v>
      </c>
      <c r="G197" s="77"/>
      <c r="I197" s="13"/>
      <c r="J197" s="13"/>
      <c r="K197" s="13"/>
    </row>
    <row r="198" spans="1:11" x14ac:dyDescent="0.2">
      <c r="B198" s="75" t="s">
        <v>2990</v>
      </c>
      <c r="C198" s="5" t="s">
        <v>2993</v>
      </c>
      <c r="D198" s="13" t="s">
        <v>3001</v>
      </c>
      <c r="E198" s="13"/>
      <c r="F198" s="77" t="s">
        <v>2997</v>
      </c>
      <c r="G198" s="77"/>
      <c r="I198" s="13"/>
      <c r="J198" s="13"/>
      <c r="K198" s="13"/>
    </row>
    <row r="199" spans="1:11" x14ac:dyDescent="0.2">
      <c r="A199" s="25" t="s">
        <v>319</v>
      </c>
      <c r="B199" s="76" t="s">
        <v>324</v>
      </c>
      <c r="C199" s="71" t="s">
        <v>2994</v>
      </c>
      <c r="D199" s="70"/>
      <c r="E199" s="70"/>
      <c r="F199" s="78" t="s">
        <v>2998</v>
      </c>
      <c r="G199" s="78"/>
      <c r="I199" s="13"/>
      <c r="J199" s="13"/>
      <c r="K199" s="13"/>
    </row>
    <row r="200" spans="1:11" ht="35" customHeight="1" x14ac:dyDescent="0.2">
      <c r="A200" s="1">
        <v>2016</v>
      </c>
      <c r="B200" s="276">
        <v>0</v>
      </c>
      <c r="C200" s="242">
        <v>100</v>
      </c>
      <c r="D200" s="80" t="s">
        <v>3643</v>
      </c>
      <c r="E200" s="13"/>
      <c r="F200" s="77">
        <v>100</v>
      </c>
      <c r="G200" s="77"/>
      <c r="I200" s="13"/>
      <c r="J200" s="13"/>
      <c r="K200" s="13"/>
    </row>
    <row r="201" spans="1:11" ht="49" customHeight="1" x14ac:dyDescent="0.2">
      <c r="A201" s="1">
        <v>2017</v>
      </c>
      <c r="B201" s="276">
        <v>420</v>
      </c>
      <c r="C201" s="242">
        <v>200</v>
      </c>
      <c r="D201" s="80" t="s">
        <v>3644</v>
      </c>
      <c r="F201" s="77">
        <v>-220</v>
      </c>
      <c r="G201" s="77"/>
    </row>
    <row r="202" spans="1:11" ht="17" x14ac:dyDescent="0.2">
      <c r="A202" s="1">
        <v>2018</v>
      </c>
      <c r="B202" s="276">
        <v>80</v>
      </c>
      <c r="C202" s="242">
        <v>150</v>
      </c>
      <c r="D202" s="80" t="s">
        <v>3645</v>
      </c>
      <c r="F202" s="77">
        <v>70</v>
      </c>
      <c r="G202" s="77"/>
    </row>
    <row r="203" spans="1:11" ht="17" x14ac:dyDescent="0.2">
      <c r="A203" s="1">
        <v>2019</v>
      </c>
      <c r="B203" s="276">
        <v>300</v>
      </c>
      <c r="C203" s="242">
        <v>300</v>
      </c>
      <c r="D203" s="80" t="s">
        <v>3645</v>
      </c>
      <c r="F203" s="77">
        <v>0</v>
      </c>
      <c r="G203" s="77"/>
    </row>
    <row r="204" spans="1:11" ht="17" x14ac:dyDescent="0.2">
      <c r="A204" s="1">
        <v>2020</v>
      </c>
      <c r="B204" s="276">
        <v>50</v>
      </c>
      <c r="C204" s="242">
        <v>100</v>
      </c>
      <c r="D204" s="80" t="s">
        <v>3240</v>
      </c>
      <c r="F204" s="77">
        <v>50</v>
      </c>
      <c r="G204" s="77"/>
    </row>
    <row r="205" spans="1:11" x14ac:dyDescent="0.2">
      <c r="C205" s="13"/>
    </row>
    <row r="206" spans="1:11" x14ac:dyDescent="0.2">
      <c r="A206" s="492" t="s">
        <v>3008</v>
      </c>
      <c r="C206" s="13"/>
    </row>
    <row r="207" spans="1:11" x14ac:dyDescent="0.2">
      <c r="B207" s="2" t="s">
        <v>779</v>
      </c>
      <c r="C207" s="2" t="s">
        <v>780</v>
      </c>
      <c r="D207" s="2" t="s">
        <v>782</v>
      </c>
      <c r="F207" s="2" t="s">
        <v>781</v>
      </c>
    </row>
    <row r="208" spans="1:11" x14ac:dyDescent="0.2">
      <c r="B208" s="75" t="s">
        <v>2987</v>
      </c>
      <c r="C208" s="5" t="s">
        <v>2991</v>
      </c>
      <c r="D208" s="13" t="s">
        <v>2999</v>
      </c>
      <c r="E208" s="13"/>
      <c r="F208" s="77" t="s">
        <v>3002</v>
      </c>
      <c r="G208" s="77"/>
    </row>
    <row r="209" spans="1:7" x14ac:dyDescent="0.2">
      <c r="B209" s="75" t="s">
        <v>3013</v>
      </c>
      <c r="C209" s="5" t="s">
        <v>2988</v>
      </c>
      <c r="D209" s="1" t="s">
        <v>3003</v>
      </c>
      <c r="E209" s="13"/>
      <c r="F209" s="77" t="s">
        <v>2995</v>
      </c>
      <c r="G209" s="77"/>
    </row>
    <row r="210" spans="1:7" x14ac:dyDescent="0.2">
      <c r="B210" s="75" t="s">
        <v>2989</v>
      </c>
      <c r="C210" s="5" t="s">
        <v>2992</v>
      </c>
      <c r="D210" s="13" t="s">
        <v>3000</v>
      </c>
      <c r="E210" s="13"/>
      <c r="F210" s="84" t="s">
        <v>2996</v>
      </c>
      <c r="G210" s="77"/>
    </row>
    <row r="211" spans="1:7" x14ac:dyDescent="0.2">
      <c r="B211" s="75" t="s">
        <v>2990</v>
      </c>
      <c r="C211" s="5" t="s">
        <v>2993</v>
      </c>
      <c r="D211" s="13" t="s">
        <v>3001</v>
      </c>
      <c r="E211" s="13"/>
      <c r="F211" s="77" t="s">
        <v>2997</v>
      </c>
      <c r="G211" s="77"/>
    </row>
    <row r="212" spans="1:7" ht="17" thickBot="1" x14ac:dyDescent="0.25">
      <c r="A212" s="1" t="s">
        <v>319</v>
      </c>
      <c r="B212" s="75" t="s">
        <v>324</v>
      </c>
      <c r="C212" s="5" t="s">
        <v>2994</v>
      </c>
      <c r="D212" s="13"/>
      <c r="E212" s="13"/>
      <c r="F212" s="77" t="s">
        <v>2998</v>
      </c>
      <c r="G212" s="77"/>
    </row>
    <row r="213" spans="1:7" ht="34" customHeight="1" thickBot="1" x14ac:dyDescent="0.25">
      <c r="A213" s="146">
        <v>2016</v>
      </c>
      <c r="B213" s="583" t="s">
        <v>1690</v>
      </c>
      <c r="C213" s="504">
        <v>100</v>
      </c>
      <c r="D213" s="869" t="s">
        <v>3647</v>
      </c>
      <c r="E213" s="869"/>
      <c r="F213" s="867" t="s">
        <v>3651</v>
      </c>
      <c r="G213" s="868"/>
    </row>
    <row r="214" spans="1:7" ht="52" customHeight="1" thickBot="1" x14ac:dyDescent="0.25">
      <c r="A214" s="146">
        <v>2017</v>
      </c>
      <c r="B214" s="505" t="s">
        <v>3009</v>
      </c>
      <c r="C214" s="504">
        <v>200</v>
      </c>
      <c r="D214" s="869" t="s">
        <v>3648</v>
      </c>
      <c r="E214" s="869"/>
      <c r="F214" s="867" t="s">
        <v>3014</v>
      </c>
      <c r="G214" s="868"/>
    </row>
    <row r="215" spans="1:7" ht="36" customHeight="1" thickBot="1" x14ac:dyDescent="0.25">
      <c r="A215" s="146">
        <v>2018</v>
      </c>
      <c r="B215" s="505" t="s">
        <v>3010</v>
      </c>
      <c r="C215" s="504">
        <v>150</v>
      </c>
      <c r="D215" s="869" t="s">
        <v>3649</v>
      </c>
      <c r="E215" s="869"/>
      <c r="F215" s="867" t="s">
        <v>3015</v>
      </c>
      <c r="G215" s="868"/>
    </row>
    <row r="216" spans="1:7" ht="35" thickBot="1" x14ac:dyDescent="0.25">
      <c r="A216" s="1">
        <v>2019</v>
      </c>
      <c r="B216" s="505" t="s">
        <v>3011</v>
      </c>
      <c r="C216" s="242">
        <v>300</v>
      </c>
      <c r="D216" s="865" t="s">
        <v>3649</v>
      </c>
      <c r="E216" s="865"/>
      <c r="F216" s="870" t="s">
        <v>3646</v>
      </c>
      <c r="G216" s="871"/>
    </row>
    <row r="217" spans="1:7" ht="39" customHeight="1" thickBot="1" x14ac:dyDescent="0.25">
      <c r="A217" s="1">
        <v>2020</v>
      </c>
      <c r="B217" s="505" t="s">
        <v>3012</v>
      </c>
      <c r="C217" s="242">
        <v>100</v>
      </c>
      <c r="D217" s="866" t="s">
        <v>3650</v>
      </c>
      <c r="E217" s="866"/>
      <c r="F217" s="867" t="s">
        <v>3016</v>
      </c>
      <c r="G217" s="868"/>
    </row>
    <row r="218" spans="1:7" x14ac:dyDescent="0.2">
      <c r="C218" s="13"/>
    </row>
    <row r="219" spans="1:7" x14ac:dyDescent="0.2">
      <c r="A219" s="1" t="s">
        <v>343</v>
      </c>
    </row>
    <row r="220" spans="1:7" x14ac:dyDescent="0.2">
      <c r="A220" s="1" t="s">
        <v>344</v>
      </c>
    </row>
    <row r="221" spans="1:7" x14ac:dyDescent="0.2">
      <c r="A221" s="1" t="s">
        <v>345</v>
      </c>
    </row>
    <row r="222" spans="1:7" x14ac:dyDescent="0.2">
      <c r="A222" s="1" t="s">
        <v>346</v>
      </c>
    </row>
    <row r="223" spans="1:7" x14ac:dyDescent="0.2">
      <c r="A223" s="1" t="s">
        <v>347</v>
      </c>
    </row>
    <row r="224" spans="1:7" x14ac:dyDescent="0.2">
      <c r="A224" s="1" t="s">
        <v>348</v>
      </c>
    </row>
    <row r="225" spans="1:9" x14ac:dyDescent="0.2">
      <c r="A225" s="1" t="s">
        <v>3017</v>
      </c>
    </row>
    <row r="226" spans="1:9" x14ac:dyDescent="0.2">
      <c r="A226" s="1" t="s">
        <v>3018</v>
      </c>
    </row>
    <row r="227" spans="1:9" x14ac:dyDescent="0.2">
      <c r="A227" s="1" t="s">
        <v>3019</v>
      </c>
    </row>
    <row r="228" spans="1:9" x14ac:dyDescent="0.2">
      <c r="A228" s="1" t="s">
        <v>349</v>
      </c>
    </row>
    <row r="229" spans="1:9" x14ac:dyDescent="0.2">
      <c r="A229" s="1" t="s">
        <v>350</v>
      </c>
    </row>
    <row r="230" spans="1:9" x14ac:dyDescent="0.2">
      <c r="A230" s="1" t="s">
        <v>351</v>
      </c>
    </row>
    <row r="232" spans="1:9" x14ac:dyDescent="0.2">
      <c r="A232" s="424" t="s">
        <v>2411</v>
      </c>
      <c r="B232" s="79"/>
      <c r="C232" s="79"/>
      <c r="D232" s="79"/>
      <c r="E232" s="79"/>
      <c r="F232" s="79"/>
      <c r="G232" s="79"/>
      <c r="H232" s="79"/>
    </row>
    <row r="233" spans="1:9" ht="17" thickBot="1" x14ac:dyDescent="0.25"/>
    <row r="234" spans="1:9" x14ac:dyDescent="0.2">
      <c r="A234" s="18" t="s">
        <v>319</v>
      </c>
      <c r="B234" s="426" t="s">
        <v>2402</v>
      </c>
      <c r="C234" s="426" t="s">
        <v>2401</v>
      </c>
      <c r="D234" s="18" t="s">
        <v>3020</v>
      </c>
      <c r="E234" s="100"/>
      <c r="F234" s="19"/>
      <c r="G234" s="100" t="s">
        <v>1715</v>
      </c>
      <c r="H234" s="100"/>
      <c r="I234" s="19"/>
    </row>
    <row r="235" spans="1:9" x14ac:dyDescent="0.2">
      <c r="A235" s="106"/>
      <c r="B235" s="68" t="s">
        <v>2403</v>
      </c>
      <c r="C235" s="68" t="s">
        <v>2406</v>
      </c>
      <c r="D235" s="106" t="s">
        <v>3678</v>
      </c>
      <c r="F235" s="107"/>
      <c r="G235" s="1" t="s">
        <v>3677</v>
      </c>
      <c r="I235" s="107"/>
    </row>
    <row r="236" spans="1:9" ht="17" thickBot="1" x14ac:dyDescent="0.25">
      <c r="A236" s="20"/>
      <c r="B236" s="69" t="s">
        <v>2412</v>
      </c>
      <c r="C236" s="69" t="s">
        <v>2413</v>
      </c>
      <c r="D236" s="201" t="s">
        <v>2414</v>
      </c>
      <c r="E236" s="103"/>
      <c r="F236" s="21"/>
      <c r="G236" s="202" t="s">
        <v>2415</v>
      </c>
      <c r="H236" s="103"/>
      <c r="I236" s="21"/>
    </row>
    <row r="237" spans="1:9" x14ac:dyDescent="0.2">
      <c r="A237" s="106"/>
      <c r="B237" s="68"/>
      <c r="C237" s="68"/>
      <c r="D237" s="106"/>
      <c r="F237" s="107"/>
      <c r="I237" s="107"/>
    </row>
    <row r="238" spans="1:9" x14ac:dyDescent="0.2">
      <c r="A238" s="106"/>
      <c r="B238" s="68" t="s">
        <v>1694</v>
      </c>
      <c r="C238" s="68" t="s">
        <v>10</v>
      </c>
      <c r="D238" s="106" t="s">
        <v>2409</v>
      </c>
      <c r="F238" s="107"/>
      <c r="G238" s="1" t="s">
        <v>2408</v>
      </c>
      <c r="I238" s="107"/>
    </row>
    <row r="239" spans="1:9" x14ac:dyDescent="0.2">
      <c r="A239" s="106"/>
      <c r="B239" s="68" t="s">
        <v>1695</v>
      </c>
      <c r="C239" s="68" t="s">
        <v>2407</v>
      </c>
      <c r="D239" s="106" t="s">
        <v>2410</v>
      </c>
      <c r="F239" s="107"/>
      <c r="G239" s="1" t="s">
        <v>3029</v>
      </c>
      <c r="I239" s="107"/>
    </row>
    <row r="240" spans="1:9" x14ac:dyDescent="0.2">
      <c r="A240" s="106"/>
      <c r="B240" s="68" t="s">
        <v>2404</v>
      </c>
      <c r="C240" s="68" t="s">
        <v>310</v>
      </c>
      <c r="D240" s="106"/>
      <c r="F240" s="107"/>
      <c r="G240" s="1" t="s">
        <v>3021</v>
      </c>
      <c r="I240" s="107"/>
    </row>
    <row r="241" spans="1:11" x14ac:dyDescent="0.2">
      <c r="A241" s="106"/>
      <c r="B241" s="68" t="s">
        <v>2405</v>
      </c>
      <c r="C241" s="68"/>
      <c r="D241" s="106" t="s">
        <v>3025</v>
      </c>
      <c r="F241" s="107"/>
      <c r="G241" s="1" t="s">
        <v>3022</v>
      </c>
      <c r="I241" s="107"/>
    </row>
    <row r="242" spans="1:11" x14ac:dyDescent="0.2">
      <c r="A242" s="106"/>
      <c r="B242" s="68"/>
      <c r="C242" s="68"/>
      <c r="D242" s="106" t="s">
        <v>3026</v>
      </c>
      <c r="F242" s="107"/>
      <c r="G242" s="1" t="s">
        <v>3023</v>
      </c>
      <c r="I242" s="107"/>
    </row>
    <row r="243" spans="1:11" x14ac:dyDescent="0.2">
      <c r="A243" s="106"/>
      <c r="B243" s="68"/>
      <c r="C243" s="68"/>
      <c r="D243" s="106" t="s">
        <v>3027</v>
      </c>
      <c r="F243" s="107"/>
      <c r="G243" s="1" t="s">
        <v>3024</v>
      </c>
      <c r="I243" s="107"/>
    </row>
    <row r="244" spans="1:11" ht="17" thickBot="1" x14ac:dyDescent="0.25">
      <c r="A244" s="20"/>
      <c r="B244" s="69"/>
      <c r="C244" s="69"/>
      <c r="D244" s="20" t="s">
        <v>3028</v>
      </c>
      <c r="E244" s="103"/>
      <c r="F244" s="21"/>
      <c r="G244" s="103" t="s">
        <v>3041</v>
      </c>
      <c r="H244" s="103"/>
      <c r="I244" s="21"/>
    </row>
    <row r="246" spans="1:11" x14ac:dyDescent="0.2">
      <c r="A246" s="537" t="s">
        <v>3652</v>
      </c>
      <c r="B246" s="537"/>
      <c r="C246" s="537"/>
      <c r="D246" s="537"/>
      <c r="E246" s="537"/>
      <c r="F246" s="537"/>
      <c r="G246" s="537"/>
      <c r="H246" s="537"/>
      <c r="I246" s="588" t="s">
        <v>3768</v>
      </c>
      <c r="J246" s="589"/>
      <c r="K246" s="589"/>
    </row>
    <row r="247" spans="1:11" x14ac:dyDescent="0.2">
      <c r="I247" s="590" t="s">
        <v>3769</v>
      </c>
      <c r="J247" s="590"/>
      <c r="K247" s="590"/>
    </row>
    <row r="248" spans="1:11" x14ac:dyDescent="0.2">
      <c r="A248" s="1" t="s">
        <v>3653</v>
      </c>
    </row>
    <row r="249" spans="1:11" x14ac:dyDescent="0.2">
      <c r="A249" s="1" t="s">
        <v>3654</v>
      </c>
    </row>
    <row r="251" spans="1:11" x14ac:dyDescent="0.2">
      <c r="C251" s="1" t="s">
        <v>1000</v>
      </c>
      <c r="D251" s="1" t="s">
        <v>1000</v>
      </c>
    </row>
    <row r="252" spans="1:11" x14ac:dyDescent="0.2">
      <c r="B252" s="1" t="s">
        <v>319</v>
      </c>
      <c r="C252" s="1" t="s">
        <v>3655</v>
      </c>
      <c r="D252" s="1" t="s">
        <v>3656</v>
      </c>
    </row>
    <row r="253" spans="1:11" x14ac:dyDescent="0.2">
      <c r="B253" s="1">
        <v>2020</v>
      </c>
      <c r="C253" s="1">
        <v>100</v>
      </c>
      <c r="D253" s="1">
        <v>120</v>
      </c>
    </row>
    <row r="254" spans="1:11" x14ac:dyDescent="0.2">
      <c r="B254" s="1">
        <v>2021</v>
      </c>
      <c r="C254" s="1">
        <v>200</v>
      </c>
      <c r="D254" s="1">
        <v>250</v>
      </c>
    </row>
    <row r="255" spans="1:11" x14ac:dyDescent="0.2">
      <c r="B255" s="1">
        <f>B254+1</f>
        <v>2022</v>
      </c>
      <c r="C255" s="1">
        <v>500</v>
      </c>
      <c r="D255" s="1">
        <v>330</v>
      </c>
    </row>
    <row r="256" spans="1:11" x14ac:dyDescent="0.2">
      <c r="B256" s="1">
        <f t="shared" ref="B256:B257" si="0">B255+1</f>
        <v>2023</v>
      </c>
      <c r="C256" s="1">
        <v>170</v>
      </c>
      <c r="D256" s="1">
        <v>135</v>
      </c>
    </row>
    <row r="257" spans="1:11" x14ac:dyDescent="0.2">
      <c r="B257" s="1">
        <f t="shared" si="0"/>
        <v>2024</v>
      </c>
      <c r="C257" s="1">
        <v>0</v>
      </c>
      <c r="D257" s="1">
        <v>135</v>
      </c>
    </row>
    <row r="259" spans="1:11" x14ac:dyDescent="0.2">
      <c r="A259" s="1" t="s">
        <v>195</v>
      </c>
    </row>
    <row r="260" spans="1:11" x14ac:dyDescent="0.2">
      <c r="A260" s="1" t="s">
        <v>3657</v>
      </c>
    </row>
    <row r="261" spans="1:11" x14ac:dyDescent="0.2">
      <c r="A261" s="1" t="s">
        <v>3658</v>
      </c>
    </row>
    <row r="262" spans="1:11" x14ac:dyDescent="0.2">
      <c r="A262" s="1" t="s">
        <v>3659</v>
      </c>
    </row>
    <row r="263" spans="1:11" x14ac:dyDescent="0.2">
      <c r="A263" s="1" t="s">
        <v>3660</v>
      </c>
    </row>
    <row r="265" spans="1:11" ht="17" thickBot="1" x14ac:dyDescent="0.25">
      <c r="A265" s="1" t="s">
        <v>657</v>
      </c>
    </row>
    <row r="266" spans="1:11" x14ac:dyDescent="0.2">
      <c r="A266" s="1" t="s">
        <v>3661</v>
      </c>
      <c r="E266" s="582"/>
      <c r="F266" s="179" t="s">
        <v>275</v>
      </c>
      <c r="G266" s="100"/>
      <c r="H266" s="179" t="s">
        <v>276</v>
      </c>
      <c r="I266" s="179" t="s">
        <v>280</v>
      </c>
      <c r="J266" s="179" t="s">
        <v>279</v>
      </c>
      <c r="K266" s="19"/>
    </row>
    <row r="267" spans="1:11" x14ac:dyDescent="0.2">
      <c r="E267" s="63"/>
      <c r="F267" s="6" t="s">
        <v>2402</v>
      </c>
      <c r="H267" s="6" t="s">
        <v>2401</v>
      </c>
      <c r="I267" s="6" t="s">
        <v>4</v>
      </c>
      <c r="J267" s="6" t="s">
        <v>3662</v>
      </c>
      <c r="K267" s="107"/>
    </row>
    <row r="268" spans="1:11" x14ac:dyDescent="0.2">
      <c r="A268" s="1" t="s">
        <v>319</v>
      </c>
      <c r="B268" s="1" t="s">
        <v>3655</v>
      </c>
      <c r="C268" s="1" t="s">
        <v>3656</v>
      </c>
      <c r="E268" s="59" t="s">
        <v>319</v>
      </c>
      <c r="F268" s="36" t="s">
        <v>2496</v>
      </c>
      <c r="G268" s="25"/>
      <c r="H268" s="36" t="s">
        <v>325</v>
      </c>
      <c r="I268" s="36" t="s">
        <v>3664</v>
      </c>
      <c r="J268" s="36" t="s">
        <v>3663</v>
      </c>
      <c r="K268" s="584"/>
    </row>
    <row r="269" spans="1:11" ht="32" customHeight="1" x14ac:dyDescent="0.2">
      <c r="A269" s="1">
        <v>2020</v>
      </c>
      <c r="B269" s="1">
        <v>100</v>
      </c>
      <c r="C269" s="1">
        <v>120</v>
      </c>
      <c r="E269" s="63">
        <v>2020</v>
      </c>
      <c r="F269" s="860" t="s">
        <v>3665</v>
      </c>
      <c r="G269" s="864"/>
      <c r="H269" s="6">
        <f>C269</f>
        <v>120</v>
      </c>
      <c r="I269" s="6" t="s">
        <v>3669</v>
      </c>
      <c r="J269" s="860" t="s">
        <v>2523</v>
      </c>
      <c r="K269" s="861"/>
    </row>
    <row r="270" spans="1:11" ht="32" customHeight="1" x14ac:dyDescent="0.2">
      <c r="A270" s="1">
        <v>2021</v>
      </c>
      <c r="B270" s="1">
        <v>200</v>
      </c>
      <c r="C270" s="1">
        <v>250</v>
      </c>
      <c r="E270" s="63">
        <v>2021</v>
      </c>
      <c r="F270" s="860" t="s">
        <v>3666</v>
      </c>
      <c r="G270" s="864"/>
      <c r="H270" s="6">
        <f t="shared" ref="H270:H273" si="1">C270</f>
        <v>250</v>
      </c>
      <c r="I270" s="6" t="s">
        <v>3670</v>
      </c>
      <c r="J270" s="860" t="s">
        <v>3673</v>
      </c>
      <c r="K270" s="861"/>
    </row>
    <row r="271" spans="1:11" ht="51" customHeight="1" x14ac:dyDescent="0.2">
      <c r="A271" s="1">
        <f>A270+1</f>
        <v>2022</v>
      </c>
      <c r="B271" s="1">
        <v>500</v>
      </c>
      <c r="C271" s="1">
        <v>330</v>
      </c>
      <c r="E271" s="63">
        <v>2022</v>
      </c>
      <c r="F271" s="860" t="s">
        <v>3667</v>
      </c>
      <c r="G271" s="864"/>
      <c r="H271" s="6">
        <f t="shared" si="1"/>
        <v>330</v>
      </c>
      <c r="I271" s="6" t="s">
        <v>3671</v>
      </c>
      <c r="J271" s="858" t="s">
        <v>3674</v>
      </c>
      <c r="K271" s="859"/>
    </row>
    <row r="272" spans="1:11" ht="32" customHeight="1" x14ac:dyDescent="0.2">
      <c r="A272" s="1">
        <f t="shared" ref="A272:A273" si="2">A271+1</f>
        <v>2023</v>
      </c>
      <c r="B272" s="1">
        <v>170</v>
      </c>
      <c r="C272" s="1">
        <v>135</v>
      </c>
      <c r="E272" s="63">
        <v>2023</v>
      </c>
      <c r="F272" s="860" t="s">
        <v>2418</v>
      </c>
      <c r="G272" s="864"/>
      <c r="H272" s="6">
        <f t="shared" si="1"/>
        <v>135</v>
      </c>
      <c r="I272" s="6" t="s">
        <v>3672</v>
      </c>
      <c r="J272" s="858" t="s">
        <v>3675</v>
      </c>
      <c r="K272" s="859"/>
    </row>
    <row r="273" spans="1:11" ht="32" customHeight="1" thickBot="1" x14ac:dyDescent="0.25">
      <c r="A273" s="1">
        <f t="shared" si="2"/>
        <v>2024</v>
      </c>
      <c r="B273" s="1">
        <v>0</v>
      </c>
      <c r="C273" s="1">
        <v>135</v>
      </c>
      <c r="E273" s="524">
        <v>2024</v>
      </c>
      <c r="F273" s="862" t="s">
        <v>3668</v>
      </c>
      <c r="G273" s="863"/>
      <c r="H273" s="158">
        <f t="shared" si="1"/>
        <v>135</v>
      </c>
      <c r="I273" s="158" t="s">
        <v>3240</v>
      </c>
      <c r="J273" s="856" t="s">
        <v>3676</v>
      </c>
      <c r="K273" s="857"/>
    </row>
    <row r="281" spans="1:11" x14ac:dyDescent="0.2">
      <c r="A281" s="34" t="s">
        <v>338</v>
      </c>
      <c r="B281" s="33"/>
      <c r="C281" s="33"/>
      <c r="D281" s="33"/>
      <c r="E281" s="33"/>
      <c r="F281" s="33"/>
      <c r="G281" s="33"/>
      <c r="H281" s="33"/>
      <c r="I281" s="110" t="s">
        <v>3770</v>
      </c>
    </row>
    <row r="282" spans="1:11" x14ac:dyDescent="0.2">
      <c r="A282" s="1" t="s">
        <v>339</v>
      </c>
    </row>
    <row r="283" spans="1:11" x14ac:dyDescent="0.2">
      <c r="A283" s="1" t="s">
        <v>340</v>
      </c>
    </row>
    <row r="285" spans="1:11" x14ac:dyDescent="0.2">
      <c r="B285" s="2" t="s">
        <v>314</v>
      </c>
      <c r="C285" s="7" t="s">
        <v>312</v>
      </c>
      <c r="D285" s="4" t="s">
        <v>310</v>
      </c>
    </row>
    <row r="286" spans="1:11" x14ac:dyDescent="0.2">
      <c r="B286" s="2" t="s">
        <v>315</v>
      </c>
      <c r="C286" s="7" t="s">
        <v>342</v>
      </c>
      <c r="D286" s="4" t="s">
        <v>341</v>
      </c>
    </row>
    <row r="287" spans="1:11" x14ac:dyDescent="0.2">
      <c r="B287" s="81" t="s">
        <v>316</v>
      </c>
      <c r="C287" s="83" t="s">
        <v>317</v>
      </c>
      <c r="D287" s="82" t="s">
        <v>317</v>
      </c>
    </row>
    <row r="288" spans="1:11" x14ac:dyDescent="0.2">
      <c r="B288" s="1">
        <v>2016</v>
      </c>
      <c r="C288" s="3">
        <v>15</v>
      </c>
      <c r="D288" s="5">
        <v>9</v>
      </c>
    </row>
    <row r="289" spans="1:9" x14ac:dyDescent="0.2">
      <c r="B289" s="1">
        <v>2017</v>
      </c>
      <c r="C289" s="3">
        <v>7</v>
      </c>
      <c r="D289" s="5">
        <v>8</v>
      </c>
    </row>
    <row r="290" spans="1:9" x14ac:dyDescent="0.2">
      <c r="B290" s="1">
        <v>2018</v>
      </c>
      <c r="C290" s="3">
        <v>40</v>
      </c>
      <c r="D290" s="5">
        <v>20</v>
      </c>
    </row>
    <row r="291" spans="1:9" x14ac:dyDescent="0.2">
      <c r="B291" s="1">
        <v>2019</v>
      </c>
      <c r="C291" s="3">
        <v>5</v>
      </c>
      <c r="D291" s="5">
        <v>40</v>
      </c>
    </row>
    <row r="292" spans="1:9" x14ac:dyDescent="0.2">
      <c r="B292" s="1">
        <v>2020</v>
      </c>
      <c r="C292" s="3">
        <v>15</v>
      </c>
      <c r="D292" s="5">
        <v>5</v>
      </c>
    </row>
    <row r="293" spans="1:9" x14ac:dyDescent="0.2">
      <c r="B293" s="1" t="s">
        <v>272</v>
      </c>
      <c r="C293" s="74">
        <f>SUM(C288:C292)</f>
        <v>82</v>
      </c>
      <c r="D293" s="72">
        <f>SUM(D288:D292)</f>
        <v>82</v>
      </c>
    </row>
    <row r="294" spans="1:9" ht="17" thickBot="1" x14ac:dyDescent="0.25"/>
    <row r="295" spans="1:9" x14ac:dyDescent="0.2">
      <c r="A295" s="18" t="s">
        <v>319</v>
      </c>
      <c r="B295" s="426" t="s">
        <v>2402</v>
      </c>
      <c r="C295" s="426" t="s">
        <v>2401</v>
      </c>
      <c r="D295" s="18" t="s">
        <v>3020</v>
      </c>
      <c r="E295" s="100"/>
      <c r="F295" s="19"/>
      <c r="G295" s="100" t="s">
        <v>1715</v>
      </c>
      <c r="H295" s="100"/>
      <c r="I295" s="19"/>
    </row>
    <row r="296" spans="1:9" x14ac:dyDescent="0.2">
      <c r="A296" s="106"/>
      <c r="B296" s="68" t="s">
        <v>2403</v>
      </c>
      <c r="C296" s="68" t="s">
        <v>2406</v>
      </c>
      <c r="D296" s="106"/>
      <c r="F296" s="107"/>
      <c r="I296" s="107"/>
    </row>
    <row r="297" spans="1:9" ht="17" thickBot="1" x14ac:dyDescent="0.25">
      <c r="A297" s="20"/>
      <c r="B297" s="69" t="s">
        <v>2412</v>
      </c>
      <c r="C297" s="69" t="s">
        <v>2413</v>
      </c>
      <c r="D297" s="201" t="s">
        <v>2414</v>
      </c>
      <c r="E297" s="103"/>
      <c r="F297" s="21"/>
      <c r="G297" s="202" t="s">
        <v>2415</v>
      </c>
      <c r="H297" s="103"/>
      <c r="I297" s="21"/>
    </row>
    <row r="298" spans="1:9" x14ac:dyDescent="0.2">
      <c r="A298" s="106"/>
      <c r="B298" s="68"/>
      <c r="C298" s="68"/>
      <c r="D298" s="106"/>
      <c r="F298" s="107"/>
      <c r="I298" s="107"/>
    </row>
    <row r="299" spans="1:9" x14ac:dyDescent="0.2">
      <c r="A299" s="106"/>
      <c r="B299" s="68" t="s">
        <v>1694</v>
      </c>
      <c r="C299" s="68" t="s">
        <v>10</v>
      </c>
      <c r="D299" s="106" t="s">
        <v>2409</v>
      </c>
      <c r="F299" s="107"/>
      <c r="G299" s="1" t="s">
        <v>2408</v>
      </c>
      <c r="I299" s="107"/>
    </row>
    <row r="300" spans="1:9" x14ac:dyDescent="0.2">
      <c r="A300" s="106"/>
      <c r="B300" s="68" t="s">
        <v>1695</v>
      </c>
      <c r="C300" s="68" t="s">
        <v>2407</v>
      </c>
      <c r="D300" s="106" t="s">
        <v>2410</v>
      </c>
      <c r="F300" s="107"/>
      <c r="G300" s="1" t="s">
        <v>3029</v>
      </c>
      <c r="I300" s="107"/>
    </row>
    <row r="301" spans="1:9" x14ac:dyDescent="0.2">
      <c r="A301" s="106"/>
      <c r="B301" s="68" t="s">
        <v>2404</v>
      </c>
      <c r="C301" s="68" t="s">
        <v>310</v>
      </c>
      <c r="D301" s="106"/>
      <c r="F301" s="107"/>
      <c r="G301" s="1" t="s">
        <v>3021</v>
      </c>
      <c r="I301" s="107"/>
    </row>
    <row r="302" spans="1:9" x14ac:dyDescent="0.2">
      <c r="A302" s="106"/>
      <c r="B302" s="68" t="s">
        <v>2405</v>
      </c>
      <c r="C302" s="68"/>
      <c r="D302" s="106" t="s">
        <v>3025</v>
      </c>
      <c r="F302" s="107"/>
      <c r="G302" s="1" t="s">
        <v>3022</v>
      </c>
      <c r="I302" s="107"/>
    </row>
    <row r="303" spans="1:9" x14ac:dyDescent="0.2">
      <c r="A303" s="106"/>
      <c r="B303" s="68"/>
      <c r="C303" s="68"/>
      <c r="D303" s="106" t="s">
        <v>3026</v>
      </c>
      <c r="F303" s="107"/>
      <c r="G303" s="1" t="s">
        <v>3023</v>
      </c>
      <c r="I303" s="107"/>
    </row>
    <row r="304" spans="1:9" x14ac:dyDescent="0.2">
      <c r="A304" s="106"/>
      <c r="B304" s="68"/>
      <c r="C304" s="68"/>
      <c r="D304" s="106" t="s">
        <v>3027</v>
      </c>
      <c r="F304" s="107"/>
      <c r="G304" s="1" t="s">
        <v>3024</v>
      </c>
      <c r="I304" s="107"/>
    </row>
    <row r="305" spans="1:9" ht="17" thickBot="1" x14ac:dyDescent="0.25">
      <c r="A305" s="20"/>
      <c r="B305" s="69"/>
      <c r="C305" s="69"/>
      <c r="D305" s="20" t="s">
        <v>3028</v>
      </c>
      <c r="E305" s="103"/>
      <c r="F305" s="21"/>
      <c r="G305" s="103" t="s">
        <v>3041</v>
      </c>
      <c r="H305" s="103"/>
      <c r="I305" s="21"/>
    </row>
    <row r="306" spans="1:9" ht="33" customHeight="1" thickBot="1" x14ac:dyDescent="0.25">
      <c r="A306" s="426">
        <v>2016</v>
      </c>
      <c r="B306" s="506" t="s">
        <v>3030</v>
      </c>
      <c r="C306" s="507">
        <v>9</v>
      </c>
      <c r="D306" s="18" t="s">
        <v>3034</v>
      </c>
      <c r="E306" s="100"/>
      <c r="F306" s="19"/>
      <c r="G306" s="872" t="s">
        <v>3038</v>
      </c>
      <c r="H306" s="873"/>
      <c r="I306" s="874"/>
    </row>
    <row r="307" spans="1:9" ht="35" thickBot="1" x14ac:dyDescent="0.25">
      <c r="A307" s="68">
        <v>2017</v>
      </c>
      <c r="B307" s="506" t="s">
        <v>3031</v>
      </c>
      <c r="C307" s="508">
        <v>8</v>
      </c>
      <c r="D307" s="106" t="s">
        <v>3035</v>
      </c>
      <c r="F307" s="107"/>
      <c r="G307" s="875" t="s">
        <v>3039</v>
      </c>
      <c r="H307" s="876"/>
      <c r="I307" s="877"/>
    </row>
    <row r="308" spans="1:9" ht="34" customHeight="1" thickBot="1" x14ac:dyDescent="0.25">
      <c r="A308" s="68">
        <v>2018</v>
      </c>
      <c r="B308" s="506" t="s">
        <v>3032</v>
      </c>
      <c r="C308" s="508">
        <v>20</v>
      </c>
      <c r="D308" s="106" t="s">
        <v>3036</v>
      </c>
      <c r="F308" s="107"/>
      <c r="G308" s="875" t="s">
        <v>3040</v>
      </c>
      <c r="H308" s="881"/>
      <c r="I308" s="882"/>
    </row>
    <row r="309" spans="1:9" ht="58" customHeight="1" thickBot="1" x14ac:dyDescent="0.25">
      <c r="A309" s="68">
        <v>2019</v>
      </c>
      <c r="B309" s="506" t="s">
        <v>3033</v>
      </c>
      <c r="C309" s="508">
        <v>40</v>
      </c>
      <c r="D309" s="106" t="s">
        <v>3037</v>
      </c>
      <c r="F309" s="107"/>
      <c r="G309" s="875" t="s">
        <v>3042</v>
      </c>
      <c r="H309" s="881"/>
      <c r="I309" s="882"/>
    </row>
    <row r="310" spans="1:9" ht="52" thickBot="1" x14ac:dyDescent="0.25">
      <c r="A310" s="69">
        <v>2020</v>
      </c>
      <c r="B310" s="510" t="s">
        <v>3030</v>
      </c>
      <c r="C310" s="509">
        <v>5</v>
      </c>
      <c r="D310" s="20">
        <v>0</v>
      </c>
      <c r="E310" s="103"/>
      <c r="F310" s="21"/>
      <c r="G310" s="878" t="s">
        <v>2416</v>
      </c>
      <c r="H310" s="879"/>
      <c r="I310" s="880"/>
    </row>
    <row r="352" spans="1:7" ht="17" thickBot="1" x14ac:dyDescent="0.25">
      <c r="A352" s="154" t="s">
        <v>1691</v>
      </c>
      <c r="B352" s="103"/>
      <c r="C352" s="103"/>
      <c r="D352" s="103"/>
      <c r="E352" s="103"/>
      <c r="F352" s="103"/>
      <c r="G352" s="103"/>
    </row>
    <row r="353" spans="1:6" x14ac:dyDescent="0.2">
      <c r="A353" s="1" t="s">
        <v>1680</v>
      </c>
    </row>
    <row r="354" spans="1:6" x14ac:dyDescent="0.2">
      <c r="A354" s="1" t="s">
        <v>1681</v>
      </c>
    </row>
    <row r="356" spans="1:6" x14ac:dyDescent="0.2">
      <c r="C356" s="1" t="s">
        <v>1682</v>
      </c>
      <c r="D356" s="1" t="s">
        <v>2417</v>
      </c>
    </row>
    <row r="357" spans="1:6" x14ac:dyDescent="0.2">
      <c r="C357" s="1" t="s">
        <v>1683</v>
      </c>
      <c r="D357" s="1" t="s">
        <v>1683</v>
      </c>
    </row>
    <row r="358" spans="1:6" x14ac:dyDescent="0.2">
      <c r="B358" s="25"/>
      <c r="C358" s="25" t="s">
        <v>1684</v>
      </c>
      <c r="D358" s="25" t="s">
        <v>1684</v>
      </c>
    </row>
    <row r="359" spans="1:6" x14ac:dyDescent="0.2">
      <c r="B359" s="1">
        <v>2019</v>
      </c>
      <c r="C359" s="24">
        <v>100000</v>
      </c>
      <c r="D359" s="24">
        <v>170000</v>
      </c>
    </row>
    <row r="360" spans="1:6" x14ac:dyDescent="0.2">
      <c r="B360" s="1">
        <v>2020</v>
      </c>
      <c r="C360" s="24">
        <v>200000</v>
      </c>
      <c r="D360" s="24">
        <v>20000</v>
      </c>
    </row>
    <row r="361" spans="1:6" x14ac:dyDescent="0.2">
      <c r="B361" s="1">
        <v>2021</v>
      </c>
      <c r="C361" s="24">
        <v>300000</v>
      </c>
      <c r="D361" s="24">
        <v>40000</v>
      </c>
    </row>
    <row r="362" spans="1:6" x14ac:dyDescent="0.2">
      <c r="B362" s="1">
        <v>2022</v>
      </c>
      <c r="C362" s="24">
        <v>400000</v>
      </c>
      <c r="D362" s="24">
        <f>1000000-D361-D360-D359</f>
        <v>770000</v>
      </c>
    </row>
    <row r="364" spans="1:6" x14ac:dyDescent="0.2">
      <c r="A364" s="1" t="s">
        <v>1686</v>
      </c>
    </row>
    <row r="366" spans="1:6" x14ac:dyDescent="0.2">
      <c r="A366" s="2" t="s">
        <v>1688</v>
      </c>
    </row>
    <row r="367" spans="1:6" ht="17" thickBot="1" x14ac:dyDescent="0.25">
      <c r="A367" s="103" t="s">
        <v>319</v>
      </c>
      <c r="B367" s="103" t="s">
        <v>1687</v>
      </c>
      <c r="C367" s="103" t="s">
        <v>1689</v>
      </c>
      <c r="D367" s="103" t="s">
        <v>446</v>
      </c>
      <c r="E367" s="103" t="s">
        <v>328</v>
      </c>
    </row>
    <row r="368" spans="1:6" ht="68" x14ac:dyDescent="0.2">
      <c r="A368" s="1">
        <v>2019</v>
      </c>
      <c r="B368" s="80" t="s">
        <v>2418</v>
      </c>
      <c r="C368" s="13">
        <v>100</v>
      </c>
      <c r="D368" s="13" t="s">
        <v>2422</v>
      </c>
      <c r="E368" s="80" t="s">
        <v>2426</v>
      </c>
      <c r="F368" s="13"/>
    </row>
    <row r="369" spans="1:7" ht="102" x14ac:dyDescent="0.2">
      <c r="A369" s="1">
        <v>2020</v>
      </c>
      <c r="B369" s="80" t="s">
        <v>2419</v>
      </c>
      <c r="C369" s="13">
        <v>200</v>
      </c>
      <c r="D369" s="13" t="s">
        <v>2423</v>
      </c>
      <c r="E369" s="80" t="s">
        <v>2427</v>
      </c>
      <c r="F369" s="13"/>
    </row>
    <row r="370" spans="1:7" ht="68" x14ac:dyDescent="0.2">
      <c r="A370" s="1">
        <v>2021</v>
      </c>
      <c r="B370" s="80" t="s">
        <v>2420</v>
      </c>
      <c r="C370" s="13">
        <v>300</v>
      </c>
      <c r="D370" s="13" t="s">
        <v>2424</v>
      </c>
      <c r="E370" s="80" t="s">
        <v>2428</v>
      </c>
      <c r="F370" s="13"/>
    </row>
    <row r="371" spans="1:7" ht="68" x14ac:dyDescent="0.2">
      <c r="A371" s="1">
        <v>2022</v>
      </c>
      <c r="B371" s="80" t="s">
        <v>2421</v>
      </c>
      <c r="C371" s="13">
        <v>400</v>
      </c>
      <c r="D371" s="13" t="s">
        <v>2425</v>
      </c>
      <c r="E371" s="80" t="s">
        <v>2429</v>
      </c>
      <c r="F371" s="13"/>
    </row>
    <row r="374" spans="1:7" ht="17" thickBot="1" x14ac:dyDescent="0.25">
      <c r="A374" s="154" t="s">
        <v>1708</v>
      </c>
      <c r="B374" s="103"/>
      <c r="C374" s="103"/>
      <c r="D374" s="103"/>
      <c r="E374" s="103"/>
      <c r="F374" s="103"/>
      <c r="G374" s="103"/>
    </row>
    <row r="376" spans="1:7" x14ac:dyDescent="0.2">
      <c r="C376" s="1" t="s">
        <v>1682</v>
      </c>
      <c r="D376" s="1" t="s">
        <v>1685</v>
      </c>
    </row>
    <row r="377" spans="1:7" x14ac:dyDescent="0.2">
      <c r="C377" s="1" t="s">
        <v>1683</v>
      </c>
      <c r="D377" s="1" t="s">
        <v>1683</v>
      </c>
    </row>
    <row r="378" spans="1:7" x14ac:dyDescent="0.2">
      <c r="B378" s="25"/>
      <c r="C378" s="25" t="s">
        <v>1684</v>
      </c>
      <c r="D378" s="25" t="s">
        <v>1684</v>
      </c>
    </row>
    <row r="379" spans="1:7" x14ac:dyDescent="0.2">
      <c r="B379" s="1">
        <v>2019</v>
      </c>
      <c r="C379" s="24">
        <v>300000</v>
      </c>
      <c r="D379" s="24">
        <v>150000</v>
      </c>
    </row>
    <row r="380" spans="1:7" x14ac:dyDescent="0.2">
      <c r="B380" s="1">
        <v>2020</v>
      </c>
      <c r="C380" s="24">
        <v>200000</v>
      </c>
      <c r="D380" s="24">
        <v>500000</v>
      </c>
    </row>
    <row r="381" spans="1:7" x14ac:dyDescent="0.2">
      <c r="B381" s="1">
        <v>2021</v>
      </c>
      <c r="C381" s="24">
        <v>100000</v>
      </c>
      <c r="D381" s="24">
        <v>0</v>
      </c>
    </row>
    <row r="382" spans="1:7" x14ac:dyDescent="0.2">
      <c r="B382" s="1">
        <v>2022</v>
      </c>
      <c r="C382" s="24">
        <v>400000</v>
      </c>
      <c r="D382" s="24">
        <v>100000</v>
      </c>
    </row>
    <row r="383" spans="1:7" x14ac:dyDescent="0.2">
      <c r="B383" s="1">
        <v>2023</v>
      </c>
      <c r="C383" s="24">
        <v>150000</v>
      </c>
      <c r="D383" s="24">
        <f>1150000-D382-D381-D380-D379</f>
        <v>400000</v>
      </c>
    </row>
    <row r="386" spans="1:7" ht="17" thickBot="1" x14ac:dyDescent="0.25">
      <c r="A386" s="103" t="s">
        <v>319</v>
      </c>
      <c r="B386" s="103" t="s">
        <v>1687</v>
      </c>
      <c r="C386" s="103"/>
      <c r="D386" s="103" t="s">
        <v>1689</v>
      </c>
      <c r="E386" s="103" t="s">
        <v>446</v>
      </c>
      <c r="G386" s="103" t="s">
        <v>328</v>
      </c>
    </row>
    <row r="387" spans="1:7" x14ac:dyDescent="0.2">
      <c r="A387" s="1">
        <f>B379</f>
        <v>2019</v>
      </c>
      <c r="B387" s="1" t="s">
        <v>1694</v>
      </c>
      <c r="C387" s="24">
        <f>D379</f>
        <v>150000</v>
      </c>
      <c r="D387" s="24">
        <f>C379</f>
        <v>300000</v>
      </c>
      <c r="E387" s="1" t="s">
        <v>1425</v>
      </c>
      <c r="F387" s="24">
        <f>C379-D379</f>
        <v>150000</v>
      </c>
      <c r="G387" s="1" t="s">
        <v>1696</v>
      </c>
    </row>
    <row r="388" spans="1:7" x14ac:dyDescent="0.2">
      <c r="B388" s="1" t="s">
        <v>1695</v>
      </c>
      <c r="C388" s="24">
        <f>C387</f>
        <v>150000</v>
      </c>
      <c r="G388" s="1" t="s">
        <v>1697</v>
      </c>
    </row>
    <row r="389" spans="1:7" x14ac:dyDescent="0.2">
      <c r="A389" s="1">
        <f>B380</f>
        <v>2020</v>
      </c>
      <c r="B389" s="1" t="s">
        <v>1694</v>
      </c>
      <c r="C389" s="24">
        <f>D380</f>
        <v>500000</v>
      </c>
      <c r="D389" s="24">
        <f>C380</f>
        <v>200000</v>
      </c>
      <c r="E389" s="1" t="s">
        <v>451</v>
      </c>
      <c r="F389" s="24">
        <f>D379+D380-C379-C380</f>
        <v>150000</v>
      </c>
      <c r="G389" s="1" t="s">
        <v>1698</v>
      </c>
    </row>
    <row r="390" spans="1:7" x14ac:dyDescent="0.2">
      <c r="B390" s="1" t="s">
        <v>1695</v>
      </c>
      <c r="C390" s="24">
        <f>C389</f>
        <v>500000</v>
      </c>
      <c r="G390" s="1" t="s">
        <v>1699</v>
      </c>
    </row>
    <row r="391" spans="1:7" x14ac:dyDescent="0.2">
      <c r="C391" s="24"/>
      <c r="G391" s="1" t="s">
        <v>1700</v>
      </c>
    </row>
    <row r="392" spans="1:7" x14ac:dyDescent="0.2">
      <c r="A392" s="1">
        <f>B381</f>
        <v>2021</v>
      </c>
      <c r="B392" s="1" t="s">
        <v>455</v>
      </c>
      <c r="D392" s="24">
        <f>C381</f>
        <v>100000</v>
      </c>
      <c r="E392" s="1" t="s">
        <v>451</v>
      </c>
      <c r="F392" s="24">
        <f>D379+D380+D381-C379-C380-C381</f>
        <v>50000</v>
      </c>
      <c r="G392" s="1" t="s">
        <v>1701</v>
      </c>
    </row>
    <row r="393" spans="1:7" x14ac:dyDescent="0.2">
      <c r="G393" s="1" t="s">
        <v>1702</v>
      </c>
    </row>
    <row r="394" spans="1:7" x14ac:dyDescent="0.2">
      <c r="A394" s="1">
        <f>B382</f>
        <v>2022</v>
      </c>
      <c r="B394" s="1" t="s">
        <v>1694</v>
      </c>
      <c r="C394" s="24">
        <f>D382</f>
        <v>100000</v>
      </c>
      <c r="D394" s="24">
        <f>C382</f>
        <v>400000</v>
      </c>
      <c r="E394" s="1" t="s">
        <v>1425</v>
      </c>
      <c r="F394" s="24">
        <f>C379+C380+C381+C382-D379-D380-D381-D382</f>
        <v>250000</v>
      </c>
      <c r="G394" s="1" t="s">
        <v>1703</v>
      </c>
    </row>
    <row r="395" spans="1:7" x14ac:dyDescent="0.2">
      <c r="B395" s="1" t="s">
        <v>1695</v>
      </c>
      <c r="C395" s="24">
        <f>C394</f>
        <v>100000</v>
      </c>
      <c r="G395" s="1" t="s">
        <v>1705</v>
      </c>
    </row>
    <row r="396" spans="1:7" x14ac:dyDescent="0.2">
      <c r="C396" s="24"/>
      <c r="G396" s="1" t="s">
        <v>1706</v>
      </c>
    </row>
    <row r="397" spans="1:7" x14ac:dyDescent="0.2">
      <c r="A397" s="1">
        <f>B383</f>
        <v>2023</v>
      </c>
      <c r="B397" s="1" t="s">
        <v>1694</v>
      </c>
      <c r="C397" s="24">
        <f>D383</f>
        <v>400000</v>
      </c>
      <c r="D397" s="24">
        <f>C383</f>
        <v>150000</v>
      </c>
      <c r="E397" s="1" t="s">
        <v>337</v>
      </c>
      <c r="F397" s="24">
        <f>SUM(D379:D383)-SUM(C379:C383)</f>
        <v>0</v>
      </c>
      <c r="G397" s="1" t="s">
        <v>1707</v>
      </c>
    </row>
    <row r="398" spans="1:7" x14ac:dyDescent="0.2">
      <c r="B398" s="1" t="s">
        <v>1695</v>
      </c>
      <c r="C398" s="24">
        <f>C397</f>
        <v>400000</v>
      </c>
      <c r="G398" s="1" t="s">
        <v>1704</v>
      </c>
    </row>
  </sheetData>
  <mergeCells count="47">
    <mergeCell ref="G306:I306"/>
    <mergeCell ref="G307:I307"/>
    <mergeCell ref="G310:I310"/>
    <mergeCell ref="G309:I309"/>
    <mergeCell ref="G308:I308"/>
    <mergeCell ref="D216:E216"/>
    <mergeCell ref="D217:E217"/>
    <mergeCell ref="F217:G217"/>
    <mergeCell ref="F213:G213"/>
    <mergeCell ref="D213:E213"/>
    <mergeCell ref="D214:E214"/>
    <mergeCell ref="F214:G214"/>
    <mergeCell ref="D215:E215"/>
    <mergeCell ref="F215:G215"/>
    <mergeCell ref="F216:G216"/>
    <mergeCell ref="F273:G273"/>
    <mergeCell ref="F272:G272"/>
    <mergeCell ref="F271:G271"/>
    <mergeCell ref="F270:G270"/>
    <mergeCell ref="F269:G269"/>
    <mergeCell ref="I72:J72"/>
    <mergeCell ref="I73:J73"/>
    <mergeCell ref="I74:J74"/>
    <mergeCell ref="I75:J75"/>
    <mergeCell ref="J273:K273"/>
    <mergeCell ref="J272:K272"/>
    <mergeCell ref="J271:K271"/>
    <mergeCell ref="J270:K270"/>
    <mergeCell ref="J269:K269"/>
    <mergeCell ref="I113:J113"/>
    <mergeCell ref="I112:J112"/>
    <mergeCell ref="I111:J111"/>
    <mergeCell ref="I110:J110"/>
    <mergeCell ref="I95:J98"/>
    <mergeCell ref="D95:E95"/>
    <mergeCell ref="G95:H98"/>
    <mergeCell ref="D98:E98"/>
    <mergeCell ref="D97:E97"/>
    <mergeCell ref="D96:E96"/>
    <mergeCell ref="D110:E110"/>
    <mergeCell ref="D111:E111"/>
    <mergeCell ref="D112:E112"/>
    <mergeCell ref="D113:E113"/>
    <mergeCell ref="G113:H113"/>
    <mergeCell ref="G112:H112"/>
    <mergeCell ref="G111:H111"/>
    <mergeCell ref="G110:H110"/>
  </mergeCells>
  <phoneticPr fontId="39" type="noConversion"/>
  <hyperlinks>
    <hyperlink ref="E2" r:id="rId1" xr:uid="{38EF71D6-E848-1241-85A2-1679E2E08172}"/>
  </hyperlinks>
  <pageMargins left="0.7" right="0.7" top="0.75" bottom="0.75" header="0.3" footer="0.3"/>
  <ignoredErrors>
    <ignoredError sqref="C389"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6C0EA-4AAE-144F-8977-7851EDA75BEC}">
  <dimension ref="A1:K371"/>
  <sheetViews>
    <sheetView rightToLeft="1" topLeftCell="A367" zoomScale="390" zoomScaleNormal="390" workbookViewId="0">
      <selection activeCell="A376" sqref="A376:XFD524"/>
    </sheetView>
  </sheetViews>
  <sheetFormatPr baseColWidth="10" defaultRowHeight="16" x14ac:dyDescent="0.2"/>
  <cols>
    <col min="1" max="1" width="10.83203125" style="1"/>
    <col min="2" max="2" width="13.33203125" style="1" customWidth="1"/>
    <col min="3" max="3" width="12.33203125" style="1" customWidth="1"/>
    <col min="4" max="4" width="17.6640625" style="1" customWidth="1"/>
    <col min="5" max="6" width="10.83203125" style="1"/>
    <col min="7" max="7" width="12.5" style="1" customWidth="1"/>
    <col min="8" max="16384" width="10.83203125" style="1"/>
  </cols>
  <sheetData>
    <row r="1" spans="1:8" ht="36" x14ac:dyDescent="0.4">
      <c r="A1" s="11" t="s">
        <v>1709</v>
      </c>
      <c r="B1" s="3"/>
      <c r="C1" s="3"/>
      <c r="D1" s="3"/>
      <c r="E1" s="3"/>
      <c r="F1" s="3"/>
      <c r="G1" s="3"/>
      <c r="H1" s="249">
        <v>45987</v>
      </c>
    </row>
    <row r="2" spans="1:8" x14ac:dyDescent="0.2">
      <c r="A2" s="2" t="s">
        <v>3043</v>
      </c>
    </row>
    <row r="3" spans="1:8" x14ac:dyDescent="0.2">
      <c r="A3" s="2"/>
    </row>
    <row r="4" spans="1:8" x14ac:dyDescent="0.2">
      <c r="A4" s="2" t="s">
        <v>1711</v>
      </c>
      <c r="C4" s="1" t="s">
        <v>1712</v>
      </c>
    </row>
    <row r="5" spans="1:8" x14ac:dyDescent="0.2">
      <c r="A5" s="2" t="s">
        <v>1713</v>
      </c>
      <c r="C5" s="1" t="s">
        <v>1714</v>
      </c>
    </row>
    <row r="6" spans="1:8" x14ac:dyDescent="0.2">
      <c r="A6" s="2" t="s">
        <v>3771</v>
      </c>
      <c r="C6" s="1" t="s">
        <v>1716</v>
      </c>
    </row>
    <row r="7" spans="1:8" x14ac:dyDescent="0.2">
      <c r="A7" s="2" t="s">
        <v>1710</v>
      </c>
      <c r="C7" s="1" t="s">
        <v>1717</v>
      </c>
    </row>
    <row r="8" spans="1:8" x14ac:dyDescent="0.2">
      <c r="A8" s="2" t="s">
        <v>1718</v>
      </c>
      <c r="C8" s="1" t="s">
        <v>1719</v>
      </c>
    </row>
    <row r="9" spans="1:8" x14ac:dyDescent="0.2">
      <c r="A9" s="2"/>
    </row>
    <row r="10" spans="1:8" x14ac:dyDescent="0.2">
      <c r="A10" s="2" t="s">
        <v>1720</v>
      </c>
    </row>
    <row r="12" spans="1:8" x14ac:dyDescent="0.2">
      <c r="A12" s="2" t="s">
        <v>3872</v>
      </c>
    </row>
    <row r="13" spans="1:8" x14ac:dyDescent="0.2">
      <c r="A13" s="2" t="s">
        <v>1721</v>
      </c>
      <c r="C13" s="1" t="s">
        <v>1722</v>
      </c>
    </row>
    <row r="14" spans="1:8" x14ac:dyDescent="0.2">
      <c r="A14" s="2" t="s">
        <v>1723</v>
      </c>
      <c r="C14" s="1" t="s">
        <v>1724</v>
      </c>
    </row>
    <row r="15" spans="1:8" x14ac:dyDescent="0.2">
      <c r="A15" s="2"/>
    </row>
    <row r="16" spans="1:8" x14ac:dyDescent="0.2">
      <c r="A16" s="2" t="s">
        <v>1725</v>
      </c>
    </row>
    <row r="17" spans="1:8" x14ac:dyDescent="0.2">
      <c r="A17" s="2"/>
    </row>
    <row r="18" spans="1:8" x14ac:dyDescent="0.2">
      <c r="A18" s="34" t="s">
        <v>308</v>
      </c>
      <c r="B18" s="33"/>
      <c r="C18" s="33"/>
      <c r="D18" s="33"/>
      <c r="E18" s="33"/>
      <c r="F18" s="33"/>
      <c r="G18" s="33"/>
      <c r="H18" s="33"/>
    </row>
    <row r="19" spans="1:8" x14ac:dyDescent="0.2">
      <c r="A19" s="1" t="s">
        <v>3772</v>
      </c>
    </row>
    <row r="20" spans="1:8" x14ac:dyDescent="0.2">
      <c r="A20" s="1" t="s">
        <v>1748</v>
      </c>
    </row>
    <row r="22" spans="1:8" x14ac:dyDescent="0.2">
      <c r="B22" s="1" t="s">
        <v>314</v>
      </c>
      <c r="C22" s="3" t="s">
        <v>312</v>
      </c>
      <c r="D22" s="5" t="s">
        <v>1726</v>
      </c>
    </row>
    <row r="23" spans="1:8" x14ac:dyDescent="0.2">
      <c r="B23" s="1" t="s">
        <v>315</v>
      </c>
      <c r="C23" s="3" t="s">
        <v>1727</v>
      </c>
      <c r="D23" s="5" t="s">
        <v>1727</v>
      </c>
    </row>
    <row r="24" spans="1:8" x14ac:dyDescent="0.2">
      <c r="B24" s="25" t="s">
        <v>316</v>
      </c>
      <c r="C24" s="73" t="s">
        <v>317</v>
      </c>
      <c r="D24" s="71" t="s">
        <v>317</v>
      </c>
    </row>
    <row r="25" spans="1:8" x14ac:dyDescent="0.2">
      <c r="B25" s="1">
        <v>2016</v>
      </c>
      <c r="C25" s="75">
        <v>320</v>
      </c>
      <c r="D25" s="242">
        <v>150</v>
      </c>
    </row>
    <row r="26" spans="1:8" x14ac:dyDescent="0.2">
      <c r="B26" s="1">
        <v>2017</v>
      </c>
      <c r="C26" s="75">
        <v>110</v>
      </c>
      <c r="D26" s="242">
        <v>180</v>
      </c>
    </row>
    <row r="27" spans="1:8" x14ac:dyDescent="0.2">
      <c r="B27" s="1">
        <v>2018</v>
      </c>
      <c r="C27" s="75">
        <v>70</v>
      </c>
      <c r="D27" s="242">
        <v>170</v>
      </c>
    </row>
    <row r="28" spans="1:8" x14ac:dyDescent="0.2">
      <c r="B28" s="1">
        <v>2019</v>
      </c>
      <c r="C28" s="75">
        <v>80</v>
      </c>
      <c r="D28" s="242">
        <v>220</v>
      </c>
    </row>
    <row r="29" spans="1:8" x14ac:dyDescent="0.2">
      <c r="B29" s="1">
        <v>2020</v>
      </c>
      <c r="C29" s="75">
        <v>460</v>
      </c>
      <c r="D29" s="242">
        <v>320</v>
      </c>
    </row>
    <row r="30" spans="1:8" x14ac:dyDescent="0.2">
      <c r="B30" s="1" t="s">
        <v>272</v>
      </c>
      <c r="C30" s="280">
        <f>SUM(C25:C29)</f>
        <v>1040</v>
      </c>
      <c r="D30" s="279">
        <f>SUM(D25:D29)</f>
        <v>1040</v>
      </c>
    </row>
    <row r="32" spans="1:8" x14ac:dyDescent="0.2">
      <c r="A32" s="1" t="s">
        <v>2430</v>
      </c>
    </row>
    <row r="33" spans="1:7" x14ac:dyDescent="0.2">
      <c r="A33" s="1" t="s">
        <v>2431</v>
      </c>
    </row>
    <row r="35" spans="1:7" x14ac:dyDescent="0.2">
      <c r="B35" s="75" t="s">
        <v>3773</v>
      </c>
      <c r="C35" s="594" t="s">
        <v>1728</v>
      </c>
      <c r="D35" s="13" t="s">
        <v>3873</v>
      </c>
      <c r="E35" s="13"/>
      <c r="F35" s="77" t="s">
        <v>3782</v>
      </c>
      <c r="G35" s="77"/>
    </row>
    <row r="36" spans="1:7" x14ac:dyDescent="0.2">
      <c r="B36" s="75" t="s">
        <v>321</v>
      </c>
      <c r="C36" s="5" t="s">
        <v>325</v>
      </c>
      <c r="D36" s="511" t="s">
        <v>332</v>
      </c>
      <c r="E36" s="13"/>
      <c r="F36" s="512" t="s">
        <v>3047</v>
      </c>
      <c r="G36" s="77"/>
    </row>
    <row r="37" spans="1:7" x14ac:dyDescent="0.2">
      <c r="B37" s="75" t="s">
        <v>322</v>
      </c>
      <c r="C37" s="5" t="s">
        <v>326</v>
      </c>
      <c r="D37" s="13" t="s">
        <v>3044</v>
      </c>
      <c r="E37" s="13"/>
      <c r="F37" s="512" t="s">
        <v>3048</v>
      </c>
      <c r="G37" s="77"/>
    </row>
    <row r="38" spans="1:7" x14ac:dyDescent="0.2">
      <c r="B38" s="75" t="s">
        <v>323</v>
      </c>
      <c r="C38" s="5" t="s">
        <v>327</v>
      </c>
      <c r="D38" s="13" t="s">
        <v>3045</v>
      </c>
      <c r="E38" s="13"/>
      <c r="F38" s="512" t="s">
        <v>3049</v>
      </c>
      <c r="G38" s="77"/>
    </row>
    <row r="39" spans="1:7" x14ac:dyDescent="0.2">
      <c r="A39" s="25" t="s">
        <v>319</v>
      </c>
      <c r="B39" s="76" t="s">
        <v>324</v>
      </c>
      <c r="C39" s="71" t="s">
        <v>315</v>
      </c>
      <c r="D39" s="70" t="s">
        <v>3046</v>
      </c>
      <c r="E39" s="70"/>
      <c r="F39" s="512" t="s">
        <v>3050</v>
      </c>
      <c r="G39" s="78"/>
    </row>
    <row r="40" spans="1:7" ht="34" x14ac:dyDescent="0.2">
      <c r="A40" s="1">
        <v>2016</v>
      </c>
      <c r="B40" s="276" t="s">
        <v>2433</v>
      </c>
      <c r="C40" s="242">
        <v>150</v>
      </c>
      <c r="D40" s="888" t="s">
        <v>3774</v>
      </c>
      <c r="E40" s="888"/>
      <c r="F40" s="885" t="s">
        <v>3874</v>
      </c>
      <c r="G40" s="885"/>
    </row>
    <row r="41" spans="1:7" ht="34" x14ac:dyDescent="0.2">
      <c r="A41" s="1">
        <v>2017</v>
      </c>
      <c r="B41" s="276" t="s">
        <v>2434</v>
      </c>
      <c r="C41" s="242">
        <v>180</v>
      </c>
      <c r="D41" s="888" t="s">
        <v>3775</v>
      </c>
      <c r="E41" s="888"/>
      <c r="F41" s="885" t="s">
        <v>3875</v>
      </c>
      <c r="G41" s="885"/>
    </row>
    <row r="42" spans="1:7" ht="34" x14ac:dyDescent="0.2">
      <c r="A42" s="1">
        <v>2018</v>
      </c>
      <c r="B42" s="276" t="s">
        <v>2435</v>
      </c>
      <c r="C42" s="242">
        <v>170</v>
      </c>
      <c r="D42" s="80">
        <v>0</v>
      </c>
      <c r="E42" s="13"/>
      <c r="F42" s="885" t="s">
        <v>2494</v>
      </c>
      <c r="G42" s="886"/>
    </row>
    <row r="43" spans="1:7" ht="34" x14ac:dyDescent="0.2">
      <c r="A43" s="1">
        <v>2019</v>
      </c>
      <c r="B43" s="276" t="s">
        <v>2436</v>
      </c>
      <c r="C43" s="242">
        <v>220</v>
      </c>
      <c r="D43" s="889" t="s">
        <v>3877</v>
      </c>
      <c r="E43" s="889"/>
      <c r="F43" s="885" t="s">
        <v>3876</v>
      </c>
      <c r="G43" s="886"/>
    </row>
    <row r="44" spans="1:7" ht="34" x14ac:dyDescent="0.2">
      <c r="A44" s="1">
        <v>2020</v>
      </c>
      <c r="B44" s="276" t="s">
        <v>2437</v>
      </c>
      <c r="C44" s="242">
        <v>320</v>
      </c>
      <c r="D44" s="80">
        <v>0</v>
      </c>
      <c r="F44" s="885" t="s">
        <v>3051</v>
      </c>
      <c r="G44" s="886"/>
    </row>
    <row r="45" spans="1:7" x14ac:dyDescent="0.2">
      <c r="C45" s="13"/>
    </row>
    <row r="46" spans="1:7" x14ac:dyDescent="0.2">
      <c r="A46" s="1" t="s">
        <v>1793</v>
      </c>
      <c r="C46" s="13"/>
    </row>
    <row r="47" spans="1:7" x14ac:dyDescent="0.2">
      <c r="A47" s="1" t="s">
        <v>2432</v>
      </c>
      <c r="C47" s="13"/>
    </row>
    <row r="48" spans="1:7" x14ac:dyDescent="0.2">
      <c r="A48" s="1" t="s">
        <v>2438</v>
      </c>
      <c r="C48" s="13"/>
    </row>
    <row r="49" spans="1:11" x14ac:dyDescent="0.2">
      <c r="A49" s="1" t="s">
        <v>2439</v>
      </c>
      <c r="C49" s="13"/>
    </row>
    <row r="50" spans="1:11" x14ac:dyDescent="0.2">
      <c r="A50" s="1" t="s">
        <v>2440</v>
      </c>
      <c r="C50" s="13"/>
      <c r="H50" s="6" t="s">
        <v>2445</v>
      </c>
      <c r="I50" s="1" t="s">
        <v>2446</v>
      </c>
      <c r="K50" s="6" t="s">
        <v>2447</v>
      </c>
    </row>
    <row r="51" spans="1:11" x14ac:dyDescent="0.2">
      <c r="A51" s="1" t="s">
        <v>2441</v>
      </c>
      <c r="C51" s="13" t="s">
        <v>2442</v>
      </c>
      <c r="F51" s="6" t="s">
        <v>1560</v>
      </c>
    </row>
    <row r="52" spans="1:11" x14ac:dyDescent="0.2">
      <c r="C52" s="1" t="s">
        <v>2443</v>
      </c>
      <c r="F52" s="6" t="s">
        <v>2444</v>
      </c>
    </row>
    <row r="53" spans="1:11" x14ac:dyDescent="0.2">
      <c r="H53" s="6" t="s">
        <v>2448</v>
      </c>
      <c r="I53" s="1" t="s">
        <v>2449</v>
      </c>
      <c r="K53" s="6" t="s">
        <v>2450</v>
      </c>
    </row>
    <row r="56" spans="1:11" x14ac:dyDescent="0.2">
      <c r="A56" s="34" t="s">
        <v>338</v>
      </c>
      <c r="B56" s="33"/>
      <c r="C56" s="33"/>
      <c r="D56" s="33"/>
      <c r="E56" s="428"/>
      <c r="F56" s="33"/>
      <c r="G56" s="33"/>
      <c r="H56" s="33"/>
    </row>
    <row r="57" spans="1:11" x14ac:dyDescent="0.2">
      <c r="A57" s="1" t="s">
        <v>1729</v>
      </c>
    </row>
    <row r="58" spans="1:11" x14ac:dyDescent="0.2">
      <c r="A58" s="1" t="s">
        <v>3776</v>
      </c>
    </row>
    <row r="60" spans="1:11" x14ac:dyDescent="0.2">
      <c r="B60" s="2" t="s">
        <v>314</v>
      </c>
      <c r="C60" s="7" t="s">
        <v>312</v>
      </c>
      <c r="D60" s="4" t="s">
        <v>1726</v>
      </c>
    </row>
    <row r="61" spans="1:11" x14ac:dyDescent="0.2">
      <c r="B61" s="2" t="s">
        <v>315</v>
      </c>
      <c r="C61" s="7" t="s">
        <v>1731</v>
      </c>
      <c r="D61" s="4" t="s">
        <v>1730</v>
      </c>
    </row>
    <row r="62" spans="1:11" x14ac:dyDescent="0.2">
      <c r="B62" s="81" t="s">
        <v>316</v>
      </c>
      <c r="C62" s="83" t="s">
        <v>317</v>
      </c>
      <c r="D62" s="82" t="s">
        <v>317</v>
      </c>
    </row>
    <row r="63" spans="1:11" x14ac:dyDescent="0.2">
      <c r="B63" s="1">
        <v>2016</v>
      </c>
      <c r="C63" s="3">
        <v>5</v>
      </c>
      <c r="D63" s="5">
        <v>10</v>
      </c>
    </row>
    <row r="64" spans="1:11" x14ac:dyDescent="0.2">
      <c r="B64" s="1">
        <v>2017</v>
      </c>
      <c r="C64" s="3">
        <v>70</v>
      </c>
      <c r="D64" s="5">
        <v>20</v>
      </c>
    </row>
    <row r="65" spans="1:10" x14ac:dyDescent="0.2">
      <c r="B65" s="1">
        <v>2018</v>
      </c>
      <c r="C65" s="3">
        <v>20</v>
      </c>
      <c r="D65" s="5">
        <v>30</v>
      </c>
    </row>
    <row r="66" spans="1:10" x14ac:dyDescent="0.2">
      <c r="B66" s="1">
        <v>2019</v>
      </c>
      <c r="C66" s="3">
        <v>30</v>
      </c>
      <c r="D66" s="5">
        <v>40</v>
      </c>
    </row>
    <row r="67" spans="1:10" x14ac:dyDescent="0.2">
      <c r="B67" s="1">
        <v>2020</v>
      </c>
      <c r="C67" s="3">
        <v>25</v>
      </c>
      <c r="D67" s="5">
        <v>50</v>
      </c>
    </row>
    <row r="68" spans="1:10" x14ac:dyDescent="0.2">
      <c r="B68" s="1" t="s">
        <v>272</v>
      </c>
      <c r="C68" s="74">
        <f>SUM(C63:C67)</f>
        <v>150</v>
      </c>
      <c r="D68" s="72">
        <f>SUM(D63:D67)</f>
        <v>150</v>
      </c>
    </row>
    <row r="70" spans="1:10" x14ac:dyDescent="0.2">
      <c r="A70" s="1" t="s">
        <v>318</v>
      </c>
    </row>
    <row r="73" spans="1:10" x14ac:dyDescent="0.2">
      <c r="B73" s="75" t="s">
        <v>3777</v>
      </c>
      <c r="C73" s="594" t="s">
        <v>1728</v>
      </c>
      <c r="D73" s="13" t="s">
        <v>3878</v>
      </c>
      <c r="E73" s="13"/>
      <c r="F73" s="77" t="s">
        <v>3782</v>
      </c>
      <c r="G73" s="77"/>
    </row>
    <row r="74" spans="1:10" x14ac:dyDescent="0.2">
      <c r="B74" s="75" t="s">
        <v>321</v>
      </c>
      <c r="C74" s="5" t="s">
        <v>325</v>
      </c>
      <c r="D74" s="511" t="s">
        <v>332</v>
      </c>
      <c r="E74" s="13"/>
      <c r="F74" s="512" t="s">
        <v>3047</v>
      </c>
      <c r="G74" s="77"/>
    </row>
    <row r="75" spans="1:10" x14ac:dyDescent="0.2">
      <c r="B75" s="75" t="s">
        <v>322</v>
      </c>
      <c r="C75" s="5" t="s">
        <v>326</v>
      </c>
      <c r="D75" s="13" t="s">
        <v>3044</v>
      </c>
      <c r="E75" s="13"/>
      <c r="F75" s="512" t="s">
        <v>3048</v>
      </c>
      <c r="G75" s="77"/>
    </row>
    <row r="76" spans="1:10" x14ac:dyDescent="0.2">
      <c r="B76" s="75" t="s">
        <v>323</v>
      </c>
      <c r="C76" s="5" t="s">
        <v>327</v>
      </c>
      <c r="D76" s="13" t="s">
        <v>3879</v>
      </c>
      <c r="E76" s="13"/>
      <c r="F76" s="512" t="s">
        <v>3049</v>
      </c>
      <c r="G76" s="77"/>
    </row>
    <row r="77" spans="1:10" x14ac:dyDescent="0.2">
      <c r="A77" s="25" t="s">
        <v>319</v>
      </c>
      <c r="B77" s="76" t="s">
        <v>324</v>
      </c>
      <c r="C77" s="71" t="s">
        <v>315</v>
      </c>
      <c r="D77" s="70" t="s">
        <v>3880</v>
      </c>
      <c r="E77" s="70"/>
      <c r="F77" s="512" t="s">
        <v>3050</v>
      </c>
      <c r="G77" s="78"/>
    </row>
    <row r="78" spans="1:10" ht="34" x14ac:dyDescent="0.2">
      <c r="A78" s="1">
        <v>2016</v>
      </c>
      <c r="B78" s="276" t="s">
        <v>3052</v>
      </c>
      <c r="C78" s="595">
        <v>10</v>
      </c>
      <c r="D78" s="890" t="s">
        <v>3882</v>
      </c>
      <c r="E78" s="890"/>
      <c r="F78" s="885" t="s">
        <v>3881</v>
      </c>
      <c r="G78" s="885"/>
    </row>
    <row r="79" spans="1:10" ht="50" customHeight="1" x14ac:dyDescent="0.2">
      <c r="A79" s="1">
        <v>2017</v>
      </c>
      <c r="B79" s="276" t="s">
        <v>2435</v>
      </c>
      <c r="C79" s="595">
        <v>20</v>
      </c>
      <c r="D79" s="890" t="s">
        <v>3883</v>
      </c>
      <c r="E79" s="890"/>
      <c r="F79" s="885" t="s">
        <v>3780</v>
      </c>
      <c r="G79" s="885"/>
      <c r="H79" s="883" t="s">
        <v>3884</v>
      </c>
      <c r="I79" s="876"/>
      <c r="J79" s="876"/>
    </row>
    <row r="80" spans="1:10" ht="34" x14ac:dyDescent="0.2">
      <c r="A80" s="1">
        <v>2018</v>
      </c>
      <c r="B80" s="276" t="s">
        <v>3053</v>
      </c>
      <c r="C80" s="595">
        <v>30</v>
      </c>
      <c r="D80" s="890" t="s">
        <v>3778</v>
      </c>
      <c r="E80" s="890"/>
      <c r="F80" s="885" t="s">
        <v>3885</v>
      </c>
      <c r="G80" s="885"/>
    </row>
    <row r="81" spans="1:8" ht="34" x14ac:dyDescent="0.2">
      <c r="A81" s="1">
        <v>2019</v>
      </c>
      <c r="B81" s="276" t="s">
        <v>3054</v>
      </c>
      <c r="C81" s="595">
        <v>40</v>
      </c>
      <c r="D81" s="890" t="s">
        <v>3779</v>
      </c>
      <c r="E81" s="890"/>
      <c r="F81" s="885" t="s">
        <v>3885</v>
      </c>
      <c r="G81" s="885"/>
    </row>
    <row r="82" spans="1:8" ht="34" x14ac:dyDescent="0.2">
      <c r="A82" s="1">
        <v>2020</v>
      </c>
      <c r="B82" s="276" t="s">
        <v>3055</v>
      </c>
      <c r="C82" s="595">
        <v>50</v>
      </c>
      <c r="D82" s="883">
        <v>0</v>
      </c>
      <c r="E82" s="883"/>
      <c r="F82" s="885" t="s">
        <v>3886</v>
      </c>
      <c r="G82" s="885"/>
    </row>
    <row r="84" spans="1:8" x14ac:dyDescent="0.2">
      <c r="A84" s="34" t="s">
        <v>3781</v>
      </c>
      <c r="B84" s="33"/>
      <c r="C84" s="33"/>
      <c r="D84" s="33"/>
      <c r="E84" s="428"/>
      <c r="F84" s="33"/>
      <c r="G84" s="33"/>
      <c r="H84" s="33"/>
    </row>
    <row r="86" spans="1:8" x14ac:dyDescent="0.2">
      <c r="A86" s="344" t="s">
        <v>3783</v>
      </c>
      <c r="B86" s="344"/>
      <c r="C86" s="344"/>
      <c r="D86" s="344"/>
      <c r="E86" s="344"/>
      <c r="F86" s="344"/>
      <c r="G86" s="344"/>
      <c r="H86" s="344"/>
    </row>
    <row r="87" spans="1:8" x14ac:dyDescent="0.2">
      <c r="A87" s="1" t="s">
        <v>3784</v>
      </c>
    </row>
    <row r="88" spans="1:8" x14ac:dyDescent="0.2">
      <c r="A88" s="1" t="s">
        <v>3785</v>
      </c>
    </row>
    <row r="89" spans="1:8" x14ac:dyDescent="0.2">
      <c r="A89" s="1" t="s">
        <v>3809</v>
      </c>
    </row>
    <row r="90" spans="1:8" x14ac:dyDescent="0.2">
      <c r="A90" s="1" t="s">
        <v>3786</v>
      </c>
    </row>
    <row r="92" spans="1:8" x14ac:dyDescent="0.2">
      <c r="A92" s="1" t="s">
        <v>657</v>
      </c>
    </row>
    <row r="93" spans="1:8" x14ac:dyDescent="0.2">
      <c r="A93" s="1" t="s">
        <v>3787</v>
      </c>
    </row>
    <row r="94" spans="1:8" x14ac:dyDescent="0.2">
      <c r="A94" s="1" t="s">
        <v>3788</v>
      </c>
    </row>
    <row r="95" spans="1:8" x14ac:dyDescent="0.2">
      <c r="A95" s="1" t="s">
        <v>3789</v>
      </c>
    </row>
    <row r="97" spans="1:9" x14ac:dyDescent="0.2">
      <c r="B97" s="25" t="s">
        <v>319</v>
      </c>
      <c r="C97" s="73" t="s">
        <v>3790</v>
      </c>
      <c r="D97" s="71" t="s">
        <v>3791</v>
      </c>
    </row>
    <row r="98" spans="1:9" x14ac:dyDescent="0.2">
      <c r="B98" s="1">
        <v>2022</v>
      </c>
      <c r="C98" s="302">
        <v>900000</v>
      </c>
      <c r="D98" s="596">
        <f>900000/6*(6/12)</f>
        <v>75000</v>
      </c>
    </row>
    <row r="99" spans="1:9" x14ac:dyDescent="0.2">
      <c r="B99" s="1">
        <v>2023</v>
      </c>
      <c r="C99" s="3">
        <v>0</v>
      </c>
      <c r="D99" s="596">
        <v>150000</v>
      </c>
    </row>
    <row r="101" spans="1:9" x14ac:dyDescent="0.2">
      <c r="A101" s="1" t="s">
        <v>3806</v>
      </c>
    </row>
    <row r="103" spans="1:9" x14ac:dyDescent="0.2">
      <c r="B103" s="25" t="s">
        <v>319</v>
      </c>
      <c r="C103" s="73" t="s">
        <v>2496</v>
      </c>
      <c r="D103" s="73"/>
      <c r="E103" s="71" t="s">
        <v>3811</v>
      </c>
      <c r="F103" s="591" t="s">
        <v>3807</v>
      </c>
      <c r="G103" s="591"/>
      <c r="H103" s="592" t="s">
        <v>3808</v>
      </c>
      <c r="I103" s="592"/>
    </row>
    <row r="104" spans="1:9" ht="33" customHeight="1" x14ac:dyDescent="0.2">
      <c r="B104" s="1">
        <v>2022</v>
      </c>
      <c r="C104" s="888" t="s">
        <v>3810</v>
      </c>
      <c r="D104" s="888"/>
      <c r="E104" s="248">
        <v>75000</v>
      </c>
      <c r="F104" s="891" t="s">
        <v>3812</v>
      </c>
      <c r="G104" s="891"/>
      <c r="H104" s="892" t="s">
        <v>3814</v>
      </c>
      <c r="I104" s="893"/>
    </row>
    <row r="105" spans="1:9" ht="32" customHeight="1" x14ac:dyDescent="0.2">
      <c r="B105" s="1">
        <v>2023</v>
      </c>
      <c r="C105" s="13" t="s">
        <v>532</v>
      </c>
      <c r="D105" s="13"/>
      <c r="E105" s="248">
        <v>150000</v>
      </c>
      <c r="F105" s="876" t="s">
        <v>3813</v>
      </c>
      <c r="G105" s="876"/>
      <c r="H105" s="894" t="s">
        <v>3815</v>
      </c>
      <c r="I105" s="895"/>
    </row>
    <row r="110" spans="1:9" x14ac:dyDescent="0.2">
      <c r="A110" s="1" t="s">
        <v>77</v>
      </c>
      <c r="B110" s="1" t="s">
        <v>3792</v>
      </c>
    </row>
    <row r="111" spans="1:9" x14ac:dyDescent="0.2">
      <c r="B111" s="1" t="s">
        <v>3793</v>
      </c>
    </row>
    <row r="112" spans="1:9" x14ac:dyDescent="0.2">
      <c r="B112" s="1" t="s">
        <v>3794</v>
      </c>
    </row>
    <row r="114" spans="1:8" x14ac:dyDescent="0.2">
      <c r="B114" s="1" t="s">
        <v>3795</v>
      </c>
    </row>
    <row r="115" spans="1:8" x14ac:dyDescent="0.2">
      <c r="B115" s="1" t="s">
        <v>3796</v>
      </c>
      <c r="E115" s="855" t="s">
        <v>3797</v>
      </c>
      <c r="F115" s="855"/>
    </row>
    <row r="117" spans="1:8" x14ac:dyDescent="0.2">
      <c r="B117" s="1" t="s">
        <v>3798</v>
      </c>
    </row>
    <row r="118" spans="1:8" x14ac:dyDescent="0.2">
      <c r="C118" s="1" t="s">
        <v>3799</v>
      </c>
      <c r="D118" s="120">
        <v>44742</v>
      </c>
      <c r="E118" s="1" t="s">
        <v>3800</v>
      </c>
    </row>
    <row r="119" spans="1:8" x14ac:dyDescent="0.2">
      <c r="C119" s="1" t="s">
        <v>3801</v>
      </c>
      <c r="D119" s="120">
        <v>44926</v>
      </c>
      <c r="E119" s="1" t="s">
        <v>3816</v>
      </c>
    </row>
    <row r="120" spans="1:8" x14ac:dyDescent="0.2">
      <c r="D120" s="120"/>
    </row>
    <row r="121" spans="1:8" x14ac:dyDescent="0.2">
      <c r="B121" s="1" t="s">
        <v>3802</v>
      </c>
      <c r="D121" s="120"/>
      <c r="F121" s="24">
        <f>150000*6/12</f>
        <v>75000</v>
      </c>
      <c r="H121" s="1" t="s">
        <v>3803</v>
      </c>
    </row>
    <row r="122" spans="1:8" x14ac:dyDescent="0.2">
      <c r="B122" s="1" t="s">
        <v>3804</v>
      </c>
      <c r="D122" s="120"/>
    </row>
    <row r="123" spans="1:8" x14ac:dyDescent="0.2">
      <c r="D123" s="120"/>
    </row>
    <row r="124" spans="1:8" x14ac:dyDescent="0.2">
      <c r="B124" s="1" t="s">
        <v>3805</v>
      </c>
      <c r="D124" s="120"/>
    </row>
    <row r="125" spans="1:8" x14ac:dyDescent="0.2">
      <c r="D125" s="120"/>
    </row>
    <row r="126" spans="1:8" x14ac:dyDescent="0.2">
      <c r="A126" s="344" t="s">
        <v>3817</v>
      </c>
      <c r="B126" s="344"/>
      <c r="C126" s="344"/>
      <c r="D126" s="344"/>
      <c r="E126" s="344"/>
      <c r="F126" s="344"/>
      <c r="G126" s="344"/>
      <c r="H126" s="344"/>
    </row>
    <row r="127" spans="1:8" x14ac:dyDescent="0.2">
      <c r="A127" s="1" t="s">
        <v>3887</v>
      </c>
      <c r="D127" s="120"/>
    </row>
    <row r="128" spans="1:8" x14ac:dyDescent="0.2">
      <c r="A128" s="1" t="s">
        <v>3818</v>
      </c>
      <c r="D128" s="120"/>
    </row>
    <row r="129" spans="1:6" x14ac:dyDescent="0.2">
      <c r="A129" s="1" t="s">
        <v>3819</v>
      </c>
      <c r="D129" s="120"/>
    </row>
    <row r="130" spans="1:6" x14ac:dyDescent="0.2">
      <c r="A130" s="1" t="s">
        <v>3820</v>
      </c>
      <c r="D130" s="120"/>
    </row>
    <row r="131" spans="1:6" x14ac:dyDescent="0.2">
      <c r="D131" s="120"/>
    </row>
    <row r="132" spans="1:6" x14ac:dyDescent="0.2">
      <c r="A132" s="1" t="s">
        <v>657</v>
      </c>
      <c r="D132" s="120"/>
    </row>
    <row r="133" spans="1:6" x14ac:dyDescent="0.2">
      <c r="C133" s="1" t="s">
        <v>319</v>
      </c>
      <c r="D133" s="249" t="s">
        <v>312</v>
      </c>
      <c r="E133" s="5" t="s">
        <v>3821</v>
      </c>
      <c r="F133" s="5"/>
    </row>
    <row r="134" spans="1:6" x14ac:dyDescent="0.2">
      <c r="C134" s="1">
        <v>2023</v>
      </c>
      <c r="D134" s="593">
        <f>20000*10</f>
        <v>200000</v>
      </c>
      <c r="E134" s="887">
        <f>20000*12</f>
        <v>240000</v>
      </c>
      <c r="F134" s="887"/>
    </row>
    <row r="135" spans="1:6" x14ac:dyDescent="0.2">
      <c r="D135" s="120"/>
    </row>
    <row r="136" spans="1:6" x14ac:dyDescent="0.2">
      <c r="B136" s="1" t="s">
        <v>3822</v>
      </c>
      <c r="D136" s="120"/>
    </row>
    <row r="137" spans="1:6" x14ac:dyDescent="0.2">
      <c r="B137" s="1" t="s">
        <v>3823</v>
      </c>
      <c r="D137" s="120"/>
    </row>
    <row r="138" spans="1:6" x14ac:dyDescent="0.2">
      <c r="B138" s="1" t="s">
        <v>3824</v>
      </c>
      <c r="D138" s="120"/>
    </row>
    <row r="139" spans="1:6" x14ac:dyDescent="0.2">
      <c r="B139" s="1" t="s">
        <v>3825</v>
      </c>
      <c r="D139" s="120"/>
      <c r="E139" s="1" t="s">
        <v>3826</v>
      </c>
    </row>
    <row r="140" spans="1:6" x14ac:dyDescent="0.2">
      <c r="D140" s="120"/>
    </row>
    <row r="141" spans="1:6" x14ac:dyDescent="0.2">
      <c r="B141" s="1" t="s">
        <v>3827</v>
      </c>
      <c r="D141" s="120"/>
    </row>
    <row r="142" spans="1:6" x14ac:dyDescent="0.2">
      <c r="B142" s="1" t="s">
        <v>3830</v>
      </c>
      <c r="D142" s="120"/>
    </row>
    <row r="143" spans="1:6" x14ac:dyDescent="0.2">
      <c r="B143" s="1" t="s">
        <v>3831</v>
      </c>
      <c r="D143" s="120"/>
      <c r="E143" s="1" t="s">
        <v>3828</v>
      </c>
    </row>
    <row r="145" spans="1:9" x14ac:dyDescent="0.2">
      <c r="A145" s="1" t="s">
        <v>3829</v>
      </c>
    </row>
    <row r="146" spans="1:9" x14ac:dyDescent="0.2">
      <c r="B146" s="1" t="s">
        <v>319</v>
      </c>
      <c r="C146" s="3" t="s">
        <v>3832</v>
      </c>
      <c r="D146" s="3"/>
      <c r="E146" s="5" t="s">
        <v>3833</v>
      </c>
      <c r="F146" s="369" t="s">
        <v>446</v>
      </c>
      <c r="G146" s="369"/>
      <c r="H146" s="392" t="s">
        <v>3834</v>
      </c>
      <c r="I146" s="392"/>
    </row>
    <row r="147" spans="1:9" x14ac:dyDescent="0.2">
      <c r="B147" s="1">
        <v>2023</v>
      </c>
      <c r="C147" s="13" t="s">
        <v>3835</v>
      </c>
      <c r="D147" s="13"/>
      <c r="E147" s="597">
        <f>E134</f>
        <v>240000</v>
      </c>
      <c r="F147" s="294" t="s">
        <v>3837</v>
      </c>
      <c r="G147" s="13"/>
      <c r="H147" s="13" t="s">
        <v>3838</v>
      </c>
      <c r="I147" s="13"/>
    </row>
    <row r="148" spans="1:9" x14ac:dyDescent="0.2">
      <c r="C148" s="13" t="s">
        <v>3836</v>
      </c>
      <c r="D148" s="12"/>
      <c r="E148" s="12"/>
      <c r="F148" s="13"/>
      <c r="G148" s="13"/>
      <c r="H148" s="13" t="s">
        <v>3839</v>
      </c>
      <c r="I148" s="13"/>
    </row>
    <row r="150" spans="1:9" x14ac:dyDescent="0.2">
      <c r="A150" s="344" t="s">
        <v>3840</v>
      </c>
      <c r="B150" s="344"/>
      <c r="C150" s="344"/>
      <c r="D150" s="344"/>
      <c r="E150" s="344"/>
      <c r="F150" s="344"/>
      <c r="G150" s="344"/>
      <c r="H150" s="344"/>
    </row>
    <row r="151" spans="1:9" x14ac:dyDescent="0.2">
      <c r="A151" s="1" t="s">
        <v>3841</v>
      </c>
    </row>
    <row r="152" spans="1:9" x14ac:dyDescent="0.2">
      <c r="A152" s="1" t="s">
        <v>3842</v>
      </c>
    </row>
    <row r="153" spans="1:9" x14ac:dyDescent="0.2">
      <c r="A153" s="1" t="s">
        <v>3843</v>
      </c>
    </row>
    <row r="154" spans="1:9" x14ac:dyDescent="0.2">
      <c r="A154" s="1" t="s">
        <v>3849</v>
      </c>
    </row>
    <row r="156" spans="1:9" x14ac:dyDescent="0.2">
      <c r="A156" s="1" t="s">
        <v>657</v>
      </c>
    </row>
    <row r="157" spans="1:9" x14ac:dyDescent="0.2">
      <c r="C157" s="1" t="s">
        <v>319</v>
      </c>
      <c r="D157" s="3" t="s">
        <v>3844</v>
      </c>
      <c r="E157" s="5" t="s">
        <v>3656</v>
      </c>
    </row>
    <row r="158" spans="1:9" x14ac:dyDescent="0.2">
      <c r="C158" s="1">
        <v>2025</v>
      </c>
      <c r="D158" s="560">
        <v>500000</v>
      </c>
      <c r="E158" s="596">
        <v>50000</v>
      </c>
    </row>
    <row r="160" spans="1:9" s="13" customFormat="1" x14ac:dyDescent="0.2">
      <c r="B160" s="70" t="s">
        <v>3845</v>
      </c>
      <c r="C160" s="70"/>
      <c r="D160" s="70"/>
      <c r="E160" s="70"/>
    </row>
    <row r="161" spans="1:11" s="13" customFormat="1" x14ac:dyDescent="0.2">
      <c r="B161" s="13" t="s">
        <v>3846</v>
      </c>
    </row>
    <row r="162" spans="1:11" s="13" customFormat="1" x14ac:dyDescent="0.2">
      <c r="B162" s="13" t="s">
        <v>3847</v>
      </c>
    </row>
    <row r="163" spans="1:11" s="13" customFormat="1" x14ac:dyDescent="0.2">
      <c r="B163" s="13" t="s">
        <v>3848</v>
      </c>
    </row>
    <row r="164" spans="1:11" s="13" customFormat="1" x14ac:dyDescent="0.2"/>
    <row r="167" spans="1:11" x14ac:dyDescent="0.2">
      <c r="B167" s="1" t="s">
        <v>319</v>
      </c>
      <c r="C167" s="3" t="s">
        <v>3832</v>
      </c>
      <c r="D167" s="3"/>
      <c r="E167" s="5" t="s">
        <v>3852</v>
      </c>
      <c r="F167" s="369" t="s">
        <v>446</v>
      </c>
      <c r="G167" s="369"/>
      <c r="H167" s="392" t="s">
        <v>3834</v>
      </c>
      <c r="I167" s="392"/>
    </row>
    <row r="168" spans="1:11" x14ac:dyDescent="0.2">
      <c r="B168" s="1">
        <v>2025</v>
      </c>
      <c r="C168" s="13" t="s">
        <v>3850</v>
      </c>
      <c r="D168" s="13"/>
      <c r="E168" s="597">
        <v>50000</v>
      </c>
      <c r="F168" s="294" t="s">
        <v>3888</v>
      </c>
      <c r="G168" s="13"/>
      <c r="H168" s="13" t="s">
        <v>3853</v>
      </c>
      <c r="I168" s="12"/>
      <c r="J168" s="12"/>
      <c r="K168" s="12"/>
    </row>
    <row r="169" spans="1:11" x14ac:dyDescent="0.2">
      <c r="C169" s="13" t="s">
        <v>3851</v>
      </c>
      <c r="D169" s="13"/>
      <c r="E169" s="13"/>
      <c r="F169" s="13"/>
      <c r="G169" s="13"/>
      <c r="H169" s="13" t="s">
        <v>3854</v>
      </c>
      <c r="I169" s="13"/>
      <c r="J169" s="12"/>
      <c r="K169" s="12"/>
    </row>
    <row r="171" spans="1:11" x14ac:dyDescent="0.2">
      <c r="A171" s="344" t="s">
        <v>3860</v>
      </c>
      <c r="B171" s="344"/>
      <c r="C171" s="344"/>
      <c r="D171" s="344"/>
      <c r="E171" s="344"/>
      <c r="F171" s="344"/>
      <c r="G171" s="344"/>
      <c r="H171" s="344"/>
    </row>
    <row r="172" spans="1:11" x14ac:dyDescent="0.2">
      <c r="A172" s="1" t="s">
        <v>3855</v>
      </c>
    </row>
    <row r="173" spans="1:11" x14ac:dyDescent="0.2">
      <c r="A173" s="1" t="s">
        <v>3856</v>
      </c>
    </row>
    <row r="174" spans="1:11" x14ac:dyDescent="0.2">
      <c r="A174" s="1" t="s">
        <v>3857</v>
      </c>
    </row>
    <row r="175" spans="1:11" x14ac:dyDescent="0.2">
      <c r="A175" s="1" t="s">
        <v>3858</v>
      </c>
    </row>
    <row r="176" spans="1:11" x14ac:dyDescent="0.2">
      <c r="A176" s="1" t="s">
        <v>3859</v>
      </c>
    </row>
    <row r="178" spans="1:8" x14ac:dyDescent="0.2">
      <c r="A178" s="1" t="s">
        <v>657</v>
      </c>
    </row>
    <row r="180" spans="1:8" x14ac:dyDescent="0.2">
      <c r="C180" s="1" t="s">
        <v>319</v>
      </c>
      <c r="D180" s="3" t="s">
        <v>3861</v>
      </c>
      <c r="E180" s="5" t="s">
        <v>3862</v>
      </c>
    </row>
    <row r="181" spans="1:8" x14ac:dyDescent="0.2">
      <c r="C181" s="1">
        <v>2022</v>
      </c>
      <c r="D181" s="75">
        <v>0</v>
      </c>
      <c r="E181" s="242">
        <f>700000/2*3/12</f>
        <v>87500</v>
      </c>
    </row>
    <row r="182" spans="1:8" x14ac:dyDescent="0.2">
      <c r="E182" s="13"/>
    </row>
    <row r="185" spans="1:8" x14ac:dyDescent="0.2">
      <c r="A185" s="1" t="s">
        <v>319</v>
      </c>
      <c r="B185" s="3" t="s">
        <v>3832</v>
      </c>
      <c r="C185" s="3"/>
      <c r="D185" s="5" t="s">
        <v>3852</v>
      </c>
      <c r="E185" s="369" t="s">
        <v>446</v>
      </c>
      <c r="F185" s="369"/>
      <c r="G185" s="392" t="s">
        <v>3834</v>
      </c>
      <c r="H185" s="392"/>
    </row>
    <row r="186" spans="1:8" x14ac:dyDescent="0.2">
      <c r="A186" s="1">
        <v>2022</v>
      </c>
      <c r="B186" s="13" t="s">
        <v>532</v>
      </c>
      <c r="C186" s="12"/>
      <c r="D186" s="597">
        <v>87500</v>
      </c>
      <c r="E186" s="294" t="s">
        <v>3869</v>
      </c>
      <c r="F186" s="13"/>
      <c r="G186" s="13" t="s">
        <v>3871</v>
      </c>
      <c r="H186" s="13"/>
    </row>
    <row r="187" spans="1:8" x14ac:dyDescent="0.2">
      <c r="B187" s="12"/>
      <c r="C187" s="12"/>
      <c r="D187" s="12"/>
      <c r="E187" s="12"/>
      <c r="F187" s="12"/>
      <c r="G187" s="13" t="s">
        <v>3870</v>
      </c>
      <c r="H187" s="13"/>
    </row>
    <row r="189" spans="1:8" x14ac:dyDescent="0.2">
      <c r="B189" s="1" t="s">
        <v>3863</v>
      </c>
    </row>
    <row r="190" spans="1:8" x14ac:dyDescent="0.2">
      <c r="B190" s="1" t="s">
        <v>3864</v>
      </c>
    </row>
    <row r="191" spans="1:8" x14ac:dyDescent="0.2">
      <c r="B191" s="1" t="s">
        <v>3865</v>
      </c>
    </row>
    <row r="192" spans="1:8" x14ac:dyDescent="0.2">
      <c r="B192" s="1" t="s">
        <v>3866</v>
      </c>
    </row>
    <row r="193" spans="1:8" x14ac:dyDescent="0.2">
      <c r="B193" s="1" t="s">
        <v>3867</v>
      </c>
      <c r="E193" s="1" t="s">
        <v>3868</v>
      </c>
    </row>
    <row r="197" spans="1:8" x14ac:dyDescent="0.2">
      <c r="A197" s="34" t="s">
        <v>1749</v>
      </c>
      <c r="B197" s="33"/>
      <c r="C197" s="33"/>
      <c r="D197" s="33"/>
      <c r="E197" s="33"/>
      <c r="F197" s="33"/>
      <c r="G197" s="33"/>
      <c r="H197" s="33"/>
    </row>
    <row r="199" spans="1:8" x14ac:dyDescent="0.2">
      <c r="A199" s="1" t="s">
        <v>1733</v>
      </c>
    </row>
    <row r="200" spans="1:8" x14ac:dyDescent="0.2">
      <c r="A200" s="1" t="s">
        <v>1737</v>
      </c>
    </row>
    <row r="201" spans="1:8" x14ac:dyDescent="0.2">
      <c r="A201" s="1" t="s">
        <v>1740</v>
      </c>
    </row>
    <row r="203" spans="1:8" x14ac:dyDescent="0.2">
      <c r="A203" s="2" t="s">
        <v>1734</v>
      </c>
    </row>
    <row r="204" spans="1:8" x14ac:dyDescent="0.2">
      <c r="A204" s="2" t="s">
        <v>1735</v>
      </c>
    </row>
    <row r="205" spans="1:8" x14ac:dyDescent="0.2">
      <c r="A205" s="2" t="s">
        <v>1736</v>
      </c>
    </row>
    <row r="207" spans="1:8" x14ac:dyDescent="0.2">
      <c r="A207" s="1" t="s">
        <v>1750</v>
      </c>
      <c r="F207"/>
    </row>
    <row r="209" spans="1:6" x14ac:dyDescent="0.2">
      <c r="B209" s="2" t="s">
        <v>314</v>
      </c>
      <c r="C209" s="7" t="s">
        <v>312</v>
      </c>
      <c r="D209" s="4" t="s">
        <v>1726</v>
      </c>
    </row>
    <row r="210" spans="1:6" x14ac:dyDescent="0.2">
      <c r="B210" s="2" t="s">
        <v>315</v>
      </c>
      <c r="C210" s="7" t="s">
        <v>1752</v>
      </c>
      <c r="D210" s="4" t="s">
        <v>1751</v>
      </c>
    </row>
    <row r="211" spans="1:6" x14ac:dyDescent="0.2">
      <c r="B211" s="81" t="s">
        <v>316</v>
      </c>
      <c r="C211" s="83" t="s">
        <v>317</v>
      </c>
      <c r="D211" s="82" t="s">
        <v>317</v>
      </c>
    </row>
    <row r="212" spans="1:6" x14ac:dyDescent="0.2">
      <c r="B212" s="1">
        <v>2022</v>
      </c>
      <c r="C212" s="75">
        <v>600000</v>
      </c>
      <c r="D212" s="242">
        <v>200000</v>
      </c>
    </row>
    <row r="213" spans="1:6" x14ac:dyDescent="0.2">
      <c r="B213" s="1">
        <v>2023</v>
      </c>
      <c r="C213" s="75">
        <v>0</v>
      </c>
      <c r="D213" s="242">
        <v>200000</v>
      </c>
    </row>
    <row r="214" spans="1:6" x14ac:dyDescent="0.2">
      <c r="B214" s="1">
        <v>2024</v>
      </c>
      <c r="C214" s="75">
        <v>0</v>
      </c>
      <c r="D214" s="242">
        <v>200000</v>
      </c>
    </row>
    <row r="216" spans="1:6" x14ac:dyDescent="0.2">
      <c r="A216" s="1" t="s">
        <v>1770</v>
      </c>
    </row>
    <row r="217" spans="1:6" x14ac:dyDescent="0.2">
      <c r="A217" s="1" t="s">
        <v>1771</v>
      </c>
    </row>
    <row r="219" spans="1:6" x14ac:dyDescent="0.2">
      <c r="A219" s="1" t="s">
        <v>1754</v>
      </c>
    </row>
    <row r="220" spans="1:6" x14ac:dyDescent="0.2">
      <c r="B220" s="75" t="s">
        <v>1732</v>
      </c>
      <c r="C220" s="5" t="s">
        <v>1728</v>
      </c>
      <c r="D220" s="77" t="s">
        <v>330</v>
      </c>
      <c r="E220" s="77"/>
      <c r="F220" s="13"/>
    </row>
    <row r="221" spans="1:6" x14ac:dyDescent="0.2">
      <c r="B221" s="75" t="s">
        <v>321</v>
      </c>
      <c r="C221" s="5" t="s">
        <v>325</v>
      </c>
      <c r="D221" s="77" t="s">
        <v>331</v>
      </c>
      <c r="E221" s="77"/>
      <c r="F221" s="13"/>
    </row>
    <row r="222" spans="1:6" x14ac:dyDescent="0.2">
      <c r="B222" s="75" t="s">
        <v>322</v>
      </c>
      <c r="C222" s="5" t="s">
        <v>326</v>
      </c>
      <c r="D222" s="77" t="s">
        <v>332</v>
      </c>
      <c r="E222" s="77"/>
      <c r="F222" s="13"/>
    </row>
    <row r="223" spans="1:6" x14ac:dyDescent="0.2">
      <c r="B223" s="75" t="s">
        <v>323</v>
      </c>
      <c r="C223" s="5" t="s">
        <v>327</v>
      </c>
      <c r="D223" s="77" t="s">
        <v>333</v>
      </c>
      <c r="E223" s="77"/>
      <c r="F223" s="13" t="s">
        <v>328</v>
      </c>
    </row>
    <row r="224" spans="1:6" x14ac:dyDescent="0.2">
      <c r="B224" s="76" t="s">
        <v>324</v>
      </c>
      <c r="C224" s="71" t="s">
        <v>315</v>
      </c>
      <c r="D224" s="78" t="s">
        <v>334</v>
      </c>
      <c r="E224" s="78"/>
      <c r="F224" s="70" t="s">
        <v>329</v>
      </c>
    </row>
    <row r="225" spans="1:7" ht="34" x14ac:dyDescent="0.2">
      <c r="A225" s="13">
        <v>2022</v>
      </c>
      <c r="B225" s="276" t="s">
        <v>1753</v>
      </c>
      <c r="C225" s="242">
        <v>200</v>
      </c>
      <c r="D225" s="427" t="s">
        <v>3056</v>
      </c>
      <c r="E225" s="77"/>
      <c r="F225" s="883" t="s">
        <v>1755</v>
      </c>
      <c r="G225" s="883"/>
    </row>
    <row r="227" spans="1:7" x14ac:dyDescent="0.2">
      <c r="A227" s="2" t="s">
        <v>1739</v>
      </c>
    </row>
    <row r="228" spans="1:7" x14ac:dyDescent="0.2">
      <c r="A228" s="2" t="s">
        <v>1741</v>
      </c>
    </row>
    <row r="229" spans="1:7" x14ac:dyDescent="0.2">
      <c r="A229" s="2" t="s">
        <v>1742</v>
      </c>
    </row>
    <row r="230" spans="1:7" x14ac:dyDescent="0.2">
      <c r="A230" s="2" t="s">
        <v>1743</v>
      </c>
    </row>
    <row r="232" spans="1:7" x14ac:dyDescent="0.2">
      <c r="A232" s="1" t="s">
        <v>1756</v>
      </c>
    </row>
    <row r="234" spans="1:7" x14ac:dyDescent="0.2">
      <c r="B234" s="2" t="s">
        <v>314</v>
      </c>
      <c r="C234" s="245" t="s">
        <v>312</v>
      </c>
      <c r="D234" s="4" t="s">
        <v>1726</v>
      </c>
    </row>
    <row r="235" spans="1:7" x14ac:dyDescent="0.2">
      <c r="B235" s="2" t="s">
        <v>315</v>
      </c>
      <c r="C235" s="245" t="s">
        <v>1752</v>
      </c>
      <c r="D235" s="4" t="s">
        <v>1751</v>
      </c>
    </row>
    <row r="236" spans="1:7" x14ac:dyDescent="0.2">
      <c r="B236" s="81" t="s">
        <v>316</v>
      </c>
      <c r="C236" s="286" t="s">
        <v>317</v>
      </c>
      <c r="D236" s="82" t="s">
        <v>317</v>
      </c>
    </row>
    <row r="237" spans="1:7" x14ac:dyDescent="0.2">
      <c r="B237" s="1">
        <v>2022</v>
      </c>
      <c r="C237" s="75">
        <v>700</v>
      </c>
      <c r="D237" s="242">
        <f>790</f>
        <v>790</v>
      </c>
    </row>
    <row r="239" spans="1:7" x14ac:dyDescent="0.2">
      <c r="A239" s="1" t="s">
        <v>1757</v>
      </c>
    </row>
    <row r="240" spans="1:7" x14ac:dyDescent="0.2">
      <c r="A240" s="1" t="s">
        <v>1758</v>
      </c>
    </row>
    <row r="241" spans="1:7" x14ac:dyDescent="0.2">
      <c r="A241" s="1" t="s">
        <v>1759</v>
      </c>
    </row>
    <row r="243" spans="1:7" x14ac:dyDescent="0.2">
      <c r="A243" s="1" t="s">
        <v>1738</v>
      </c>
    </row>
    <row r="245" spans="1:7" x14ac:dyDescent="0.2">
      <c r="B245" s="75" t="s">
        <v>1732</v>
      </c>
      <c r="C245" s="5" t="s">
        <v>1728</v>
      </c>
      <c r="D245" s="77" t="s">
        <v>330</v>
      </c>
      <c r="E245" s="77"/>
      <c r="F245" s="13"/>
    </row>
    <row r="246" spans="1:7" x14ac:dyDescent="0.2">
      <c r="B246" s="75" t="s">
        <v>321</v>
      </c>
      <c r="C246" s="5" t="s">
        <v>325</v>
      </c>
      <c r="D246" s="77" t="s">
        <v>331</v>
      </c>
      <c r="E246" s="77"/>
      <c r="F246" s="13"/>
    </row>
    <row r="247" spans="1:7" x14ac:dyDescent="0.2">
      <c r="B247" s="75" t="s">
        <v>322</v>
      </c>
      <c r="C247" s="5" t="s">
        <v>326</v>
      </c>
      <c r="D247" s="77" t="s">
        <v>332</v>
      </c>
      <c r="E247" s="77"/>
      <c r="F247" s="13"/>
    </row>
    <row r="248" spans="1:7" x14ac:dyDescent="0.2">
      <c r="B248" s="75" t="s">
        <v>323</v>
      </c>
      <c r="C248" s="5" t="s">
        <v>327</v>
      </c>
      <c r="D248" s="77" t="s">
        <v>333</v>
      </c>
      <c r="E248" s="77"/>
      <c r="F248" s="13" t="s">
        <v>328</v>
      </c>
    </row>
    <row r="249" spans="1:7" x14ac:dyDescent="0.2">
      <c r="B249" s="76" t="s">
        <v>324</v>
      </c>
      <c r="C249" s="71" t="s">
        <v>315</v>
      </c>
      <c r="D249" s="78" t="s">
        <v>334</v>
      </c>
      <c r="E249" s="78"/>
      <c r="F249" s="70" t="s">
        <v>329</v>
      </c>
    </row>
    <row r="250" spans="1:7" ht="51" x14ac:dyDescent="0.2">
      <c r="A250" s="13">
        <v>2022</v>
      </c>
      <c r="B250" s="276" t="s">
        <v>3057</v>
      </c>
      <c r="C250" s="242">
        <v>790</v>
      </c>
      <c r="D250" s="427" t="s">
        <v>3058</v>
      </c>
      <c r="E250" s="77"/>
      <c r="F250" s="883" t="s">
        <v>3059</v>
      </c>
      <c r="G250" s="883"/>
    </row>
    <row r="252" spans="1:7" x14ac:dyDescent="0.2">
      <c r="A252" s="2" t="s">
        <v>2451</v>
      </c>
    </row>
    <row r="253" spans="1:7" x14ac:dyDescent="0.2">
      <c r="A253" s="2" t="s">
        <v>1744</v>
      </c>
    </row>
    <row r="255" spans="1:7" x14ac:dyDescent="0.2">
      <c r="B255" s="73" t="s">
        <v>1761</v>
      </c>
      <c r="C255" s="287" t="s">
        <v>1762</v>
      </c>
    </row>
    <row r="256" spans="1:7" x14ac:dyDescent="0.2">
      <c r="A256" s="1">
        <v>2022</v>
      </c>
      <c r="B256" s="75">
        <v>800</v>
      </c>
      <c r="C256" s="288">
        <f>90%*800</f>
        <v>720</v>
      </c>
      <c r="D256" s="12" t="s">
        <v>1763</v>
      </c>
    </row>
    <row r="257" spans="1:7" s="13" customFormat="1" x14ac:dyDescent="0.2"/>
    <row r="258" spans="1:7" s="13" customFormat="1" x14ac:dyDescent="0.2">
      <c r="A258" s="13" t="s">
        <v>1764</v>
      </c>
    </row>
    <row r="259" spans="1:7" s="13" customFormat="1" x14ac:dyDescent="0.2">
      <c r="A259" s="13" t="s">
        <v>1765</v>
      </c>
    </row>
    <row r="260" spans="1:7" s="13" customFormat="1" x14ac:dyDescent="0.2">
      <c r="F260" s="13" t="s">
        <v>1772</v>
      </c>
    </row>
    <row r="261" spans="1:7" s="13" customFormat="1" x14ac:dyDescent="0.2"/>
    <row r="262" spans="1:7" x14ac:dyDescent="0.2">
      <c r="A262" s="1" t="s">
        <v>1738</v>
      </c>
    </row>
    <row r="263" spans="1:7" x14ac:dyDescent="0.2">
      <c r="B263" s="75" t="s">
        <v>336</v>
      </c>
      <c r="C263" s="5" t="s">
        <v>320</v>
      </c>
      <c r="D263" s="13"/>
      <c r="E263" s="13"/>
      <c r="F263" s="77" t="s">
        <v>330</v>
      </c>
      <c r="G263" s="77"/>
    </row>
    <row r="264" spans="1:7" x14ac:dyDescent="0.2">
      <c r="B264" s="75" t="s">
        <v>321</v>
      </c>
      <c r="C264" s="5" t="s">
        <v>325</v>
      </c>
      <c r="D264" s="13"/>
      <c r="E264" s="13"/>
      <c r="F264" s="77" t="s">
        <v>331</v>
      </c>
      <c r="G264" s="77"/>
    </row>
    <row r="265" spans="1:7" x14ac:dyDescent="0.2">
      <c r="B265" s="75" t="s">
        <v>322</v>
      </c>
      <c r="C265" s="5" t="s">
        <v>326</v>
      </c>
      <c r="D265" s="13"/>
      <c r="E265" s="13"/>
      <c r="F265" s="77" t="s">
        <v>332</v>
      </c>
      <c r="G265" s="77"/>
    </row>
    <row r="266" spans="1:7" x14ac:dyDescent="0.2">
      <c r="B266" s="75" t="s">
        <v>323</v>
      </c>
      <c r="C266" s="5" t="s">
        <v>327</v>
      </c>
      <c r="D266" s="13" t="s">
        <v>328</v>
      </c>
      <c r="E266" s="13"/>
      <c r="F266" s="77" t="s">
        <v>333</v>
      </c>
      <c r="G266" s="77"/>
    </row>
    <row r="267" spans="1:7" x14ac:dyDescent="0.2">
      <c r="B267" s="76" t="s">
        <v>324</v>
      </c>
      <c r="C267" s="71" t="s">
        <v>315</v>
      </c>
      <c r="D267" s="70" t="s">
        <v>329</v>
      </c>
      <c r="E267" s="70"/>
      <c r="F267" s="78" t="s">
        <v>334</v>
      </c>
      <c r="G267" s="78"/>
    </row>
    <row r="268" spans="1:7" ht="34" x14ac:dyDescent="0.2">
      <c r="A268" s="13">
        <v>2022</v>
      </c>
      <c r="B268" s="276" t="s">
        <v>1766</v>
      </c>
      <c r="C268" s="242">
        <v>720</v>
      </c>
      <c r="D268" s="80" t="s">
        <v>1767</v>
      </c>
      <c r="E268" s="13"/>
      <c r="F268" s="884" t="s">
        <v>3060</v>
      </c>
      <c r="G268" s="884"/>
    </row>
    <row r="270" spans="1:7" x14ac:dyDescent="0.2">
      <c r="A270" s="2" t="s">
        <v>1745</v>
      </c>
    </row>
    <row r="271" spans="1:7" x14ac:dyDescent="0.2">
      <c r="A271" s="2" t="s">
        <v>1746</v>
      </c>
    </row>
    <row r="272" spans="1:7" x14ac:dyDescent="0.2">
      <c r="A272" s="2" t="s">
        <v>1747</v>
      </c>
    </row>
    <row r="274" spans="1:7" x14ac:dyDescent="0.2">
      <c r="A274" s="1" t="s">
        <v>2454</v>
      </c>
    </row>
    <row r="275" spans="1:7" x14ac:dyDescent="0.2">
      <c r="A275" s="1" t="s">
        <v>2455</v>
      </c>
    </row>
    <row r="278" spans="1:7" x14ac:dyDescent="0.2">
      <c r="B278" s="73" t="s">
        <v>312</v>
      </c>
      <c r="C278" s="71" t="s">
        <v>1726</v>
      </c>
      <c r="E278" s="13" t="s">
        <v>2456</v>
      </c>
      <c r="F278" s="13"/>
      <c r="G278" s="13"/>
    </row>
    <row r="279" spans="1:7" x14ac:dyDescent="0.2">
      <c r="A279" s="1">
        <v>2020</v>
      </c>
      <c r="B279" s="75">
        <v>120000</v>
      </c>
      <c r="C279" s="242">
        <v>30000</v>
      </c>
      <c r="E279" s="13" t="s">
        <v>2457</v>
      </c>
      <c r="F279" s="13"/>
      <c r="G279" s="13"/>
    </row>
    <row r="280" spans="1:7" ht="17" thickBot="1" x14ac:dyDescent="0.25">
      <c r="A280" s="1">
        <v>2021</v>
      </c>
      <c r="B280" s="75">
        <v>0</v>
      </c>
      <c r="C280" s="242">
        <v>30000</v>
      </c>
      <c r="E280" s="13" t="s">
        <v>2458</v>
      </c>
      <c r="F280" s="13"/>
      <c r="G280" s="13"/>
    </row>
    <row r="281" spans="1:7" ht="17" thickBot="1" x14ac:dyDescent="0.25">
      <c r="A281" s="283">
        <v>2022</v>
      </c>
      <c r="B281" s="429">
        <v>0</v>
      </c>
      <c r="C281" s="430">
        <v>30000</v>
      </c>
      <c r="E281" s="13">
        <f>120000/4</f>
        <v>30000</v>
      </c>
      <c r="F281" s="13"/>
      <c r="G281" s="13" t="s">
        <v>2459</v>
      </c>
    </row>
    <row r="282" spans="1:7" x14ac:dyDescent="0.2">
      <c r="A282" s="1">
        <v>2023</v>
      </c>
      <c r="B282" s="75">
        <v>0</v>
      </c>
      <c r="C282" s="242">
        <v>30000</v>
      </c>
      <c r="E282" s="13"/>
      <c r="F282" s="13"/>
      <c r="G282" s="13"/>
    </row>
    <row r="284" spans="1:7" x14ac:dyDescent="0.2">
      <c r="A284" s="1" t="s">
        <v>1738</v>
      </c>
    </row>
    <row r="285" spans="1:7" x14ac:dyDescent="0.2">
      <c r="B285" s="75" t="s">
        <v>1732</v>
      </c>
      <c r="C285" s="5" t="s">
        <v>1728</v>
      </c>
      <c r="D285" s="13"/>
      <c r="E285" s="13"/>
      <c r="F285" s="77" t="s">
        <v>330</v>
      </c>
      <c r="G285" s="77"/>
    </row>
    <row r="286" spans="1:7" x14ac:dyDescent="0.2">
      <c r="B286" s="75" t="s">
        <v>321</v>
      </c>
      <c r="C286" s="5" t="s">
        <v>325</v>
      </c>
      <c r="D286" s="13"/>
      <c r="E286" s="13"/>
      <c r="F286" s="77" t="s">
        <v>331</v>
      </c>
      <c r="G286" s="77"/>
    </row>
    <row r="287" spans="1:7" x14ac:dyDescent="0.2">
      <c r="B287" s="75" t="s">
        <v>322</v>
      </c>
      <c r="C287" s="5" t="s">
        <v>326</v>
      </c>
      <c r="D287" s="13"/>
      <c r="E287" s="13"/>
      <c r="F287" s="77" t="s">
        <v>332</v>
      </c>
      <c r="G287" s="77"/>
    </row>
    <row r="288" spans="1:7" x14ac:dyDescent="0.2">
      <c r="B288" s="75" t="s">
        <v>323</v>
      </c>
      <c r="C288" s="5" t="s">
        <v>327</v>
      </c>
      <c r="D288" s="13" t="s">
        <v>328</v>
      </c>
      <c r="E288" s="13"/>
      <c r="F288" s="77" t="s">
        <v>333</v>
      </c>
      <c r="G288" s="77"/>
    </row>
    <row r="289" spans="1:8" x14ac:dyDescent="0.2">
      <c r="B289" s="76" t="s">
        <v>324</v>
      </c>
      <c r="C289" s="71" t="s">
        <v>315</v>
      </c>
      <c r="D289" s="70" t="s">
        <v>329</v>
      </c>
      <c r="E289" s="70"/>
      <c r="F289" s="78" t="s">
        <v>334</v>
      </c>
      <c r="G289" s="78"/>
    </row>
    <row r="290" spans="1:8" ht="51" x14ac:dyDescent="0.2">
      <c r="A290" s="1">
        <v>2020</v>
      </c>
      <c r="B290" s="276" t="s">
        <v>1768</v>
      </c>
      <c r="C290" s="242">
        <v>30</v>
      </c>
      <c r="D290" s="80" t="s">
        <v>2461</v>
      </c>
      <c r="E290" s="13"/>
      <c r="F290" s="427" t="s">
        <v>2460</v>
      </c>
      <c r="G290" s="77">
        <v>90</v>
      </c>
    </row>
    <row r="291" spans="1:8" ht="52" thickBot="1" x14ac:dyDescent="0.25">
      <c r="A291" s="1">
        <v>2021</v>
      </c>
      <c r="B291" s="276">
        <v>0</v>
      </c>
      <c r="C291" s="242">
        <v>30</v>
      </c>
      <c r="D291" s="80" t="s">
        <v>2462</v>
      </c>
      <c r="E291" s="13"/>
      <c r="F291" s="427" t="s">
        <v>2460</v>
      </c>
      <c r="G291" s="77">
        <v>60</v>
      </c>
    </row>
    <row r="292" spans="1:8" ht="52" thickBot="1" x14ac:dyDescent="0.25">
      <c r="A292" s="283">
        <v>2022</v>
      </c>
      <c r="B292" s="284">
        <v>0</v>
      </c>
      <c r="C292" s="282">
        <v>30</v>
      </c>
      <c r="D292" s="289" t="s">
        <v>2462</v>
      </c>
      <c r="E292" s="290"/>
      <c r="F292" s="431" t="s">
        <v>2460</v>
      </c>
      <c r="G292" s="285">
        <v>30</v>
      </c>
      <c r="H292" s="432" t="s">
        <v>2463</v>
      </c>
    </row>
    <row r="293" spans="1:8" ht="34" x14ac:dyDescent="0.2">
      <c r="A293" s="1">
        <v>2023</v>
      </c>
      <c r="B293" s="276">
        <v>0</v>
      </c>
      <c r="C293" s="242">
        <v>30</v>
      </c>
      <c r="D293" s="80" t="s">
        <v>2462</v>
      </c>
      <c r="E293" s="13"/>
      <c r="F293" s="77">
        <v>0</v>
      </c>
      <c r="G293" s="77"/>
    </row>
    <row r="296" spans="1:8" x14ac:dyDescent="0.2">
      <c r="A296" s="34" t="s">
        <v>2464</v>
      </c>
      <c r="B296" s="33"/>
      <c r="C296" s="33"/>
      <c r="D296" s="33"/>
      <c r="E296" s="33"/>
      <c r="F296" s="33"/>
      <c r="G296" s="33"/>
      <c r="H296" s="33"/>
    </row>
    <row r="298" spans="1:8" x14ac:dyDescent="0.2">
      <c r="A298" s="1" t="s">
        <v>2465</v>
      </c>
    </row>
    <row r="299" spans="1:8" x14ac:dyDescent="0.2">
      <c r="A299" s="1" t="s">
        <v>2466</v>
      </c>
    </row>
    <row r="300" spans="1:8" x14ac:dyDescent="0.2">
      <c r="A300" s="1" t="s">
        <v>2467</v>
      </c>
    </row>
    <row r="302" spans="1:8" x14ac:dyDescent="0.2">
      <c r="B302" s="1" t="s">
        <v>1000</v>
      </c>
      <c r="C302" s="1" t="s">
        <v>1000</v>
      </c>
    </row>
    <row r="303" spans="1:8" x14ac:dyDescent="0.2">
      <c r="A303" s="25" t="s">
        <v>319</v>
      </c>
      <c r="B303" s="25" t="s">
        <v>1726</v>
      </c>
      <c r="C303" s="25" t="s">
        <v>2468</v>
      </c>
    </row>
    <row r="304" spans="1:8" x14ac:dyDescent="0.2">
      <c r="A304" s="1">
        <v>2016</v>
      </c>
      <c r="B304" s="1">
        <v>500</v>
      </c>
      <c r="C304" s="1">
        <v>600</v>
      </c>
    </row>
    <row r="305" spans="1:3" x14ac:dyDescent="0.2">
      <c r="A305" s="1">
        <v>2017</v>
      </c>
      <c r="B305" s="1">
        <v>800</v>
      </c>
      <c r="C305" s="1">
        <v>100</v>
      </c>
    </row>
    <row r="306" spans="1:3" x14ac:dyDescent="0.2">
      <c r="A306" s="1">
        <v>2018</v>
      </c>
      <c r="B306" s="1">
        <v>900</v>
      </c>
      <c r="C306" s="1">
        <v>300</v>
      </c>
    </row>
    <row r="307" spans="1:3" x14ac:dyDescent="0.2">
      <c r="A307" s="1">
        <v>2019</v>
      </c>
      <c r="B307" s="1">
        <v>400</v>
      </c>
      <c r="C307" s="1">
        <v>700</v>
      </c>
    </row>
    <row r="308" spans="1:3" x14ac:dyDescent="0.2">
      <c r="A308" s="1">
        <v>2020</v>
      </c>
      <c r="B308" s="1">
        <v>300</v>
      </c>
      <c r="C308" s="1">
        <v>1300</v>
      </c>
    </row>
    <row r="309" spans="1:3" x14ac:dyDescent="0.2">
      <c r="A309" s="1">
        <v>2021</v>
      </c>
      <c r="B309" s="1">
        <v>200</v>
      </c>
      <c r="C309" s="1">
        <v>100</v>
      </c>
    </row>
    <row r="310" spans="1:3" x14ac:dyDescent="0.2">
      <c r="A310" s="1" t="s">
        <v>272</v>
      </c>
      <c r="B310" s="1">
        <f>SUM(B304:B309)</f>
        <v>3100</v>
      </c>
      <c r="C310" s="1">
        <f>SUM(C304:C309)</f>
        <v>3100</v>
      </c>
    </row>
    <row r="312" spans="1:3" x14ac:dyDescent="0.2">
      <c r="A312" s="1" t="s">
        <v>195</v>
      </c>
    </row>
    <row r="313" spans="1:3" x14ac:dyDescent="0.2">
      <c r="A313" s="1" t="s">
        <v>2469</v>
      </c>
    </row>
    <row r="314" spans="1:3" x14ac:dyDescent="0.2">
      <c r="A314" s="1" t="s">
        <v>2470</v>
      </c>
    </row>
    <row r="315" spans="1:3" x14ac:dyDescent="0.2">
      <c r="A315" s="1" t="s">
        <v>2471</v>
      </c>
    </row>
    <row r="316" spans="1:3" x14ac:dyDescent="0.2">
      <c r="A316" s="1" t="s">
        <v>2472</v>
      </c>
    </row>
    <row r="317" spans="1:3" x14ac:dyDescent="0.2">
      <c r="A317" s="1" t="s">
        <v>2473</v>
      </c>
    </row>
    <row r="318" spans="1:3" x14ac:dyDescent="0.2">
      <c r="A318" s="1" t="s">
        <v>2474</v>
      </c>
    </row>
    <row r="320" spans="1:3" x14ac:dyDescent="0.2">
      <c r="A320" s="1" t="s">
        <v>657</v>
      </c>
    </row>
    <row r="322" spans="1:8" x14ac:dyDescent="0.2">
      <c r="A322" s="1" t="s">
        <v>2475</v>
      </c>
    </row>
    <row r="323" spans="1:8" ht="17" thickBot="1" x14ac:dyDescent="0.25"/>
    <row r="324" spans="1:8" ht="34" x14ac:dyDescent="0.2">
      <c r="A324" s="25" t="s">
        <v>319</v>
      </c>
      <c r="B324" s="67" t="s">
        <v>2476</v>
      </c>
      <c r="C324" s="435" t="s">
        <v>2480</v>
      </c>
      <c r="D324" s="67" t="s">
        <v>328</v>
      </c>
      <c r="E324" s="25"/>
      <c r="F324" s="436" t="s">
        <v>446</v>
      </c>
      <c r="G324" s="422"/>
      <c r="H324" s="423"/>
    </row>
    <row r="325" spans="1:8" ht="34" x14ac:dyDescent="0.2">
      <c r="A325" s="1">
        <v>2016</v>
      </c>
      <c r="B325" s="433" t="s">
        <v>1753</v>
      </c>
      <c r="C325" s="68">
        <f t="shared" ref="C325:C330" si="0">B304</f>
        <v>500</v>
      </c>
      <c r="D325" s="433" t="s">
        <v>2489</v>
      </c>
      <c r="F325" s="106" t="s">
        <v>2482</v>
      </c>
      <c r="H325" s="107">
        <v>100</v>
      </c>
    </row>
    <row r="326" spans="1:8" ht="51" x14ac:dyDescent="0.2">
      <c r="A326" s="1">
        <v>2017</v>
      </c>
      <c r="B326" s="433" t="s">
        <v>2477</v>
      </c>
      <c r="C326" s="68">
        <f t="shared" si="0"/>
        <v>800</v>
      </c>
      <c r="D326" s="433" t="s">
        <v>2490</v>
      </c>
      <c r="F326" s="106" t="s">
        <v>2481</v>
      </c>
      <c r="H326" s="107">
        <f>(500+800)-(600+100)</f>
        <v>600</v>
      </c>
    </row>
    <row r="327" spans="1:8" ht="34" x14ac:dyDescent="0.2">
      <c r="A327" s="1">
        <v>2018</v>
      </c>
      <c r="B327" s="433" t="s">
        <v>2478</v>
      </c>
      <c r="C327" s="68">
        <f t="shared" si="0"/>
        <v>900</v>
      </c>
      <c r="D327" s="433" t="s">
        <v>2491</v>
      </c>
      <c r="F327" s="106" t="s">
        <v>2481</v>
      </c>
      <c r="H327" s="107">
        <f>(500+800+900)-(600+100+300)</f>
        <v>1200</v>
      </c>
    </row>
    <row r="328" spans="1:8" ht="34" x14ac:dyDescent="0.2">
      <c r="A328" s="1">
        <v>2019</v>
      </c>
      <c r="B328" s="433" t="s">
        <v>1760</v>
      </c>
      <c r="C328" s="68">
        <f t="shared" si="0"/>
        <v>400</v>
      </c>
      <c r="D328" s="433" t="s">
        <v>2492</v>
      </c>
      <c r="F328" s="106" t="s">
        <v>2481</v>
      </c>
      <c r="H328" s="107">
        <f>(500+800+900+400)-(600+100+300+700)</f>
        <v>900</v>
      </c>
    </row>
    <row r="329" spans="1:8" ht="34" customHeight="1" x14ac:dyDescent="0.2">
      <c r="A329" s="1">
        <v>2020</v>
      </c>
      <c r="B329" s="433" t="s">
        <v>2479</v>
      </c>
      <c r="C329" s="68">
        <f t="shared" si="0"/>
        <v>300</v>
      </c>
      <c r="D329" s="433" t="s">
        <v>2493</v>
      </c>
      <c r="F329" s="106" t="s">
        <v>2482</v>
      </c>
      <c r="H329" s="107">
        <f>(600+100+300+700+1300)-(500+800+900+400+300)</f>
        <v>100</v>
      </c>
    </row>
    <row r="330" spans="1:8" ht="35" thickBot="1" x14ac:dyDescent="0.25">
      <c r="A330" s="1">
        <v>2021</v>
      </c>
      <c r="B330" s="434" t="s">
        <v>2477</v>
      </c>
      <c r="C330" s="69">
        <f t="shared" si="0"/>
        <v>200</v>
      </c>
      <c r="D330" s="434" t="s">
        <v>2494</v>
      </c>
      <c r="F330" s="20" t="s">
        <v>337</v>
      </c>
      <c r="G330" s="103"/>
      <c r="H330" s="21">
        <v>0</v>
      </c>
    </row>
    <row r="335" spans="1:8" x14ac:dyDescent="0.2">
      <c r="A335" s="1" t="s">
        <v>2483</v>
      </c>
    </row>
    <row r="336" spans="1:8" x14ac:dyDescent="0.2">
      <c r="A336" s="1" t="s">
        <v>2484</v>
      </c>
    </row>
    <row r="337" spans="1:8" x14ac:dyDescent="0.2">
      <c r="A337" s="1" t="s">
        <v>2485</v>
      </c>
    </row>
    <row r="338" spans="1:8" x14ac:dyDescent="0.2">
      <c r="A338" s="1" t="s">
        <v>2486</v>
      </c>
      <c r="B338" s="1" t="s">
        <v>2487</v>
      </c>
    </row>
    <row r="339" spans="1:8" x14ac:dyDescent="0.2">
      <c r="B339" s="1" t="s">
        <v>2488</v>
      </c>
    </row>
    <row r="341" spans="1:8" x14ac:dyDescent="0.2">
      <c r="A341" s="34" t="s">
        <v>2495</v>
      </c>
      <c r="B341" s="33"/>
      <c r="C341" s="33"/>
      <c r="D341" s="33"/>
      <c r="E341" s="33"/>
      <c r="F341" s="33"/>
      <c r="G341" s="33"/>
      <c r="H341" s="33"/>
    </row>
    <row r="355" spans="1:8" x14ac:dyDescent="0.2">
      <c r="B355" s="437" t="s">
        <v>2498</v>
      </c>
      <c r="C355" s="437" t="s">
        <v>2498</v>
      </c>
    </row>
    <row r="356" spans="1:8" x14ac:dyDescent="0.2">
      <c r="B356" s="437" t="s">
        <v>2499</v>
      </c>
      <c r="C356" s="437" t="s">
        <v>2504</v>
      </c>
      <c r="F356" s="437" t="s">
        <v>2508</v>
      </c>
    </row>
    <row r="357" spans="1:8" x14ac:dyDescent="0.2">
      <c r="B357" s="437" t="s">
        <v>2500</v>
      </c>
      <c r="C357" s="437" t="s">
        <v>2505</v>
      </c>
      <c r="F357" s="437" t="s">
        <v>2509</v>
      </c>
    </row>
    <row r="358" spans="1:8" x14ac:dyDescent="0.2">
      <c r="B358" s="437" t="s">
        <v>2501</v>
      </c>
      <c r="C358" s="437" t="s">
        <v>2506</v>
      </c>
      <c r="F358" s="437" t="s">
        <v>2510</v>
      </c>
    </row>
    <row r="359" spans="1:8" x14ac:dyDescent="0.2">
      <c r="B359" s="437" t="s">
        <v>2502</v>
      </c>
      <c r="C359" s="437" t="s">
        <v>2501</v>
      </c>
      <c r="F359" s="437" t="s">
        <v>2511</v>
      </c>
    </row>
    <row r="360" spans="1:8" x14ac:dyDescent="0.2">
      <c r="B360" s="437" t="s">
        <v>2503</v>
      </c>
      <c r="C360" s="437" t="s">
        <v>2507</v>
      </c>
      <c r="F360" s="437" t="s">
        <v>2512</v>
      </c>
    </row>
    <row r="361" spans="1:8" x14ac:dyDescent="0.2">
      <c r="A361" s="83" t="s">
        <v>319</v>
      </c>
      <c r="B361" s="83" t="s">
        <v>2496</v>
      </c>
      <c r="C361" s="83" t="s">
        <v>2497</v>
      </c>
      <c r="D361" s="83" t="s">
        <v>328</v>
      </c>
      <c r="E361" s="83"/>
      <c r="F361" s="83" t="s">
        <v>446</v>
      </c>
      <c r="G361" s="83"/>
      <c r="H361" s="83"/>
    </row>
    <row r="362" spans="1:8" ht="34" x14ac:dyDescent="0.2">
      <c r="A362" s="1">
        <v>2020</v>
      </c>
      <c r="B362" s="30" t="s">
        <v>335</v>
      </c>
      <c r="C362" s="1">
        <v>100</v>
      </c>
      <c r="D362" s="30" t="s">
        <v>2523</v>
      </c>
      <c r="F362" s="1" t="s">
        <v>2453</v>
      </c>
      <c r="H362" s="1">
        <v>20</v>
      </c>
    </row>
    <row r="363" spans="1:8" ht="34" x14ac:dyDescent="0.2">
      <c r="A363" s="1">
        <v>2021</v>
      </c>
      <c r="B363" s="30" t="s">
        <v>2513</v>
      </c>
      <c r="C363" s="1">
        <v>200</v>
      </c>
      <c r="D363" s="30" t="s">
        <v>2525</v>
      </c>
      <c r="F363" s="1" t="s">
        <v>2453</v>
      </c>
      <c r="H363" s="1">
        <f>(100+200)-(80+170)</f>
        <v>50</v>
      </c>
    </row>
    <row r="364" spans="1:8" ht="51" x14ac:dyDescent="0.2">
      <c r="A364" s="1">
        <v>2022</v>
      </c>
      <c r="B364" s="30" t="s">
        <v>2514</v>
      </c>
      <c r="C364" s="1">
        <v>300</v>
      </c>
      <c r="D364" s="30" t="s">
        <v>2524</v>
      </c>
      <c r="F364" s="1" t="s">
        <v>2452</v>
      </c>
      <c r="H364" s="1">
        <f>(80+170+600)-(100+200+300)</f>
        <v>250</v>
      </c>
    </row>
    <row r="365" spans="1:8" ht="34" x14ac:dyDescent="0.2">
      <c r="A365" s="1">
        <v>2023</v>
      </c>
      <c r="B365" s="30" t="s">
        <v>2522</v>
      </c>
      <c r="C365" s="1">
        <v>400</v>
      </c>
      <c r="D365" s="30" t="s">
        <v>2526</v>
      </c>
      <c r="F365" s="1" t="s">
        <v>337</v>
      </c>
      <c r="H365" s="1">
        <v>0</v>
      </c>
    </row>
    <row r="368" spans="1:8" x14ac:dyDescent="0.2">
      <c r="A368" s="1" t="s">
        <v>2515</v>
      </c>
    </row>
    <row r="369" spans="2:7" x14ac:dyDescent="0.2">
      <c r="B369" s="1" t="s">
        <v>2516</v>
      </c>
      <c r="E369" s="1">
        <f>100+200+300+400</f>
        <v>1000</v>
      </c>
      <c r="G369" s="1" t="s">
        <v>2519</v>
      </c>
    </row>
    <row r="370" spans="2:7" x14ac:dyDescent="0.2">
      <c r="B370" s="1" t="s">
        <v>2517</v>
      </c>
      <c r="E370" s="1">
        <f>80+170+600</f>
        <v>850</v>
      </c>
      <c r="G370" s="1" t="s">
        <v>2520</v>
      </c>
    </row>
    <row r="371" spans="2:7" x14ac:dyDescent="0.2">
      <c r="B371" s="1" t="s">
        <v>2518</v>
      </c>
      <c r="E371" s="1">
        <f>E369-E370</f>
        <v>150</v>
      </c>
      <c r="G371" s="1" t="s">
        <v>2521</v>
      </c>
    </row>
  </sheetData>
  <mergeCells count="29">
    <mergeCell ref="D82:E82"/>
    <mergeCell ref="H79:J79"/>
    <mergeCell ref="E115:F115"/>
    <mergeCell ref="C104:D104"/>
    <mergeCell ref="F104:G104"/>
    <mergeCell ref="F105:G105"/>
    <mergeCell ref="H104:I104"/>
    <mergeCell ref="H105:I105"/>
    <mergeCell ref="D43:E43"/>
    <mergeCell ref="D78:E78"/>
    <mergeCell ref="D79:E79"/>
    <mergeCell ref="D80:E80"/>
    <mergeCell ref="D81:E81"/>
    <mergeCell ref="F250:G250"/>
    <mergeCell ref="F268:G268"/>
    <mergeCell ref="F40:G40"/>
    <mergeCell ref="F41:G41"/>
    <mergeCell ref="F42:G42"/>
    <mergeCell ref="F43:G43"/>
    <mergeCell ref="F44:G44"/>
    <mergeCell ref="F225:G225"/>
    <mergeCell ref="F78:G78"/>
    <mergeCell ref="F79:G79"/>
    <mergeCell ref="F80:G80"/>
    <mergeCell ref="F81:G81"/>
    <mergeCell ref="F82:G82"/>
    <mergeCell ref="E134:F134"/>
    <mergeCell ref="D40:E40"/>
    <mergeCell ref="D41:E4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4383D-8B41-8145-BED5-7DBE7C738801}">
  <dimension ref="A1:P105"/>
  <sheetViews>
    <sheetView rightToLeft="1" zoomScale="242" workbookViewId="0">
      <selection activeCell="E8" sqref="E8"/>
    </sheetView>
  </sheetViews>
  <sheetFormatPr baseColWidth="10" defaultRowHeight="16" x14ac:dyDescent="0.2"/>
  <cols>
    <col min="1" max="16384" width="10.83203125" style="1"/>
  </cols>
  <sheetData>
    <row r="1" spans="1:8" ht="28" customHeight="1" x14ac:dyDescent="0.2">
      <c r="A1" s="897" t="s">
        <v>1805</v>
      </c>
      <c r="B1" s="829"/>
      <c r="C1" s="829"/>
      <c r="D1" s="829"/>
      <c r="E1" s="829"/>
      <c r="F1" s="829"/>
      <c r="G1" s="829"/>
      <c r="H1" s="829"/>
    </row>
    <row r="2" spans="1:8" x14ac:dyDescent="0.2">
      <c r="A2" s="150"/>
      <c r="B2" s="150"/>
      <c r="C2" s="150"/>
      <c r="D2" s="150"/>
      <c r="E2" s="150"/>
      <c r="F2" s="150"/>
      <c r="G2" s="150"/>
      <c r="H2" s="150"/>
    </row>
    <row r="3" spans="1:8" x14ac:dyDescent="0.2">
      <c r="A3" s="1" t="s">
        <v>1784</v>
      </c>
    </row>
    <row r="4" spans="1:8" x14ac:dyDescent="0.2">
      <c r="A4" s="1" t="s">
        <v>1785</v>
      </c>
    </row>
    <row r="6" spans="1:8" x14ac:dyDescent="0.2">
      <c r="A6" s="2" t="s">
        <v>1773</v>
      </c>
    </row>
    <row r="8" spans="1:8" x14ac:dyDescent="0.2">
      <c r="B8" s="1" t="s">
        <v>1682</v>
      </c>
      <c r="C8" s="1" t="s">
        <v>133</v>
      </c>
    </row>
    <row r="9" spans="1:8" x14ac:dyDescent="0.2">
      <c r="A9" s="1">
        <v>2010</v>
      </c>
      <c r="B9" s="1">
        <f>15000*9/12</f>
        <v>11250</v>
      </c>
      <c r="C9" s="1">
        <v>45000</v>
      </c>
      <c r="D9" s="1" t="s">
        <v>1777</v>
      </c>
    </row>
    <row r="10" spans="1:8" x14ac:dyDescent="0.2">
      <c r="A10" s="1">
        <v>2011</v>
      </c>
      <c r="B10" s="1">
        <v>15000</v>
      </c>
      <c r="C10" s="1">
        <v>0</v>
      </c>
      <c r="D10" s="1" t="s">
        <v>1778</v>
      </c>
    </row>
    <row r="11" spans="1:8" x14ac:dyDescent="0.2">
      <c r="A11" s="1">
        <v>2012</v>
      </c>
      <c r="B11" s="1">
        <v>15000</v>
      </c>
      <c r="C11" s="1">
        <v>0</v>
      </c>
      <c r="D11" s="1" t="s">
        <v>1779</v>
      </c>
    </row>
    <row r="12" spans="1:8" x14ac:dyDescent="0.2">
      <c r="A12" s="1">
        <v>2013</v>
      </c>
      <c r="B12" s="1">
        <f>15000-B9</f>
        <v>3750</v>
      </c>
      <c r="C12" s="1">
        <v>0</v>
      </c>
    </row>
    <row r="14" spans="1:8" x14ac:dyDescent="0.2">
      <c r="B14" s="292" t="s">
        <v>1732</v>
      </c>
      <c r="C14" s="293" t="s">
        <v>1728</v>
      </c>
      <c r="D14" s="294"/>
      <c r="E14" s="294"/>
      <c r="F14" s="295" t="s">
        <v>330</v>
      </c>
      <c r="G14" s="295"/>
    </row>
    <row r="15" spans="1:8" x14ac:dyDescent="0.2">
      <c r="B15" s="292" t="s">
        <v>321</v>
      </c>
      <c r="C15" s="293" t="s">
        <v>325</v>
      </c>
      <c r="D15" s="294"/>
      <c r="E15" s="294"/>
      <c r="F15" s="295" t="s">
        <v>331</v>
      </c>
      <c r="G15" s="295"/>
    </row>
    <row r="16" spans="1:8" x14ac:dyDescent="0.2">
      <c r="B16" s="292" t="s">
        <v>322</v>
      </c>
      <c r="C16" s="293" t="s">
        <v>326</v>
      </c>
      <c r="D16" s="294"/>
      <c r="E16" s="294"/>
      <c r="F16" s="295" t="s">
        <v>332</v>
      </c>
      <c r="G16" s="295"/>
    </row>
    <row r="17" spans="1:7" x14ac:dyDescent="0.2">
      <c r="B17" s="292" t="s">
        <v>323</v>
      </c>
      <c r="C17" s="293" t="s">
        <v>327</v>
      </c>
      <c r="D17" s="294" t="s">
        <v>328</v>
      </c>
      <c r="E17" s="294"/>
      <c r="F17" s="295" t="s">
        <v>333</v>
      </c>
      <c r="G17" s="295"/>
    </row>
    <row r="18" spans="1:7" x14ac:dyDescent="0.2">
      <c r="B18" s="296" t="s">
        <v>324</v>
      </c>
      <c r="C18" s="297" t="s">
        <v>315</v>
      </c>
      <c r="D18" s="298" t="s">
        <v>329</v>
      </c>
      <c r="E18" s="298"/>
      <c r="F18" s="299" t="s">
        <v>334</v>
      </c>
      <c r="G18" s="299"/>
    </row>
    <row r="19" spans="1:7" ht="68" customHeight="1" x14ac:dyDescent="0.2">
      <c r="A19" s="1">
        <v>2010</v>
      </c>
      <c r="B19" s="300" t="s">
        <v>1774</v>
      </c>
      <c r="C19" s="301">
        <v>11.25</v>
      </c>
      <c r="D19" s="896" t="s">
        <v>1776</v>
      </c>
      <c r="E19" s="896"/>
      <c r="F19" s="295" t="s">
        <v>1775</v>
      </c>
      <c r="G19" s="295"/>
    </row>
    <row r="21" spans="1:7" x14ac:dyDescent="0.2">
      <c r="A21" s="2" t="s">
        <v>1780</v>
      </c>
    </row>
    <row r="23" spans="1:7" x14ac:dyDescent="0.2">
      <c r="B23" s="1" t="s">
        <v>1682</v>
      </c>
      <c r="C23" s="1" t="s">
        <v>133</v>
      </c>
    </row>
    <row r="24" spans="1:7" x14ac:dyDescent="0.2">
      <c r="A24" s="1">
        <v>2010</v>
      </c>
      <c r="B24" s="1">
        <v>5000</v>
      </c>
      <c r="C24" s="1">
        <v>10000</v>
      </c>
    </row>
    <row r="25" spans="1:7" x14ac:dyDescent="0.2">
      <c r="A25" s="1">
        <v>2011</v>
      </c>
      <c r="B25" s="1">
        <v>5000</v>
      </c>
      <c r="C25" s="1">
        <v>0</v>
      </c>
    </row>
    <row r="27" spans="1:7" x14ac:dyDescent="0.2">
      <c r="B27" s="292" t="s">
        <v>1732</v>
      </c>
      <c r="C27" s="293" t="s">
        <v>1728</v>
      </c>
      <c r="D27" s="294"/>
      <c r="E27" s="294"/>
      <c r="F27" s="295" t="s">
        <v>330</v>
      </c>
      <c r="G27" s="295"/>
    </row>
    <row r="28" spans="1:7" x14ac:dyDescent="0.2">
      <c r="B28" s="292" t="s">
        <v>321</v>
      </c>
      <c r="C28" s="293" t="s">
        <v>325</v>
      </c>
      <c r="D28" s="294"/>
      <c r="E28" s="294"/>
      <c r="F28" s="295" t="s">
        <v>331</v>
      </c>
      <c r="G28" s="295"/>
    </row>
    <row r="29" spans="1:7" x14ac:dyDescent="0.2">
      <c r="B29" s="292" t="s">
        <v>322</v>
      </c>
      <c r="C29" s="293" t="s">
        <v>326</v>
      </c>
      <c r="D29" s="294"/>
      <c r="E29" s="294"/>
      <c r="F29" s="295" t="s">
        <v>332</v>
      </c>
      <c r="G29" s="295"/>
    </row>
    <row r="30" spans="1:7" x14ac:dyDescent="0.2">
      <c r="B30" s="292" t="s">
        <v>323</v>
      </c>
      <c r="C30" s="293" t="s">
        <v>327</v>
      </c>
      <c r="D30" s="294" t="s">
        <v>328</v>
      </c>
      <c r="E30" s="294"/>
      <c r="F30" s="295" t="s">
        <v>333</v>
      </c>
      <c r="G30" s="295"/>
    </row>
    <row r="31" spans="1:7" x14ac:dyDescent="0.2">
      <c r="B31" s="296" t="s">
        <v>324</v>
      </c>
      <c r="C31" s="297" t="s">
        <v>315</v>
      </c>
      <c r="D31" s="298" t="s">
        <v>329</v>
      </c>
      <c r="E31" s="298"/>
      <c r="F31" s="299" t="s">
        <v>334</v>
      </c>
      <c r="G31" s="299"/>
    </row>
    <row r="32" spans="1:7" ht="32" x14ac:dyDescent="0.2">
      <c r="A32" s="1">
        <v>2010</v>
      </c>
      <c r="B32" s="300" t="s">
        <v>1781</v>
      </c>
      <c r="C32" s="301">
        <v>5</v>
      </c>
      <c r="D32" s="896" t="s">
        <v>1783</v>
      </c>
      <c r="E32" s="896"/>
      <c r="F32" s="295" t="s">
        <v>1782</v>
      </c>
      <c r="G32" s="295"/>
    </row>
    <row r="34" spans="1:1" x14ac:dyDescent="0.2">
      <c r="A34" s="1" t="s">
        <v>1794</v>
      </c>
    </row>
    <row r="35" spans="1:1" x14ac:dyDescent="0.2">
      <c r="A35" s="1" t="s">
        <v>1795</v>
      </c>
    </row>
    <row r="36" spans="1:1" x14ac:dyDescent="0.2">
      <c r="A36" s="1" t="s">
        <v>1796</v>
      </c>
    </row>
    <row r="52" spans="1:16" x14ac:dyDescent="0.2">
      <c r="A52" s="3" t="s">
        <v>1802</v>
      </c>
      <c r="B52" s="3"/>
      <c r="C52" s="3"/>
      <c r="D52" s="3"/>
      <c r="E52" s="3"/>
      <c r="F52" s="3"/>
      <c r="G52" s="3"/>
      <c r="H52" s="3"/>
      <c r="J52" s="1" t="s">
        <v>1803</v>
      </c>
    </row>
    <row r="54" spans="1:16" x14ac:dyDescent="0.2">
      <c r="J54" s="2" t="s">
        <v>1804</v>
      </c>
    </row>
    <row r="56" spans="1:16" x14ac:dyDescent="0.2">
      <c r="J56" s="292" t="s">
        <v>336</v>
      </c>
      <c r="K56" s="3"/>
      <c r="L56" s="293" t="s">
        <v>320</v>
      </c>
      <c r="M56" s="294"/>
      <c r="N56" s="294"/>
      <c r="O56" s="295" t="s">
        <v>330</v>
      </c>
      <c r="P56" s="295"/>
    </row>
    <row r="57" spans="1:16" x14ac:dyDescent="0.2">
      <c r="J57" s="292" t="s">
        <v>321</v>
      </c>
      <c r="K57" s="3"/>
      <c r="L57" s="293" t="s">
        <v>325</v>
      </c>
      <c r="M57" s="294"/>
      <c r="N57" s="294"/>
      <c r="O57" s="295" t="s">
        <v>331</v>
      </c>
      <c r="P57" s="295"/>
    </row>
    <row r="58" spans="1:16" x14ac:dyDescent="0.2">
      <c r="J58" s="292" t="s">
        <v>322</v>
      </c>
      <c r="K58" s="3"/>
      <c r="L58" s="293" t="s">
        <v>326</v>
      </c>
      <c r="M58" s="294"/>
      <c r="N58" s="294"/>
      <c r="O58" s="295" t="s">
        <v>332</v>
      </c>
      <c r="P58" s="295"/>
    </row>
    <row r="59" spans="1:16" x14ac:dyDescent="0.2">
      <c r="J59" s="292" t="s">
        <v>323</v>
      </c>
      <c r="K59" s="3"/>
      <c r="L59" s="293" t="s">
        <v>327</v>
      </c>
      <c r="M59" s="294" t="s">
        <v>328</v>
      </c>
      <c r="N59" s="294"/>
      <c r="O59" s="295" t="s">
        <v>333</v>
      </c>
      <c r="P59" s="295"/>
    </row>
    <row r="60" spans="1:16" x14ac:dyDescent="0.2">
      <c r="J60" s="296" t="s">
        <v>324</v>
      </c>
      <c r="K60" s="73"/>
      <c r="L60" s="297" t="s">
        <v>315</v>
      </c>
      <c r="M60" s="298" t="s">
        <v>329</v>
      </c>
      <c r="N60" s="298"/>
      <c r="O60" s="299" t="s">
        <v>334</v>
      </c>
      <c r="P60" s="299"/>
    </row>
    <row r="61" spans="1:16" x14ac:dyDescent="0.2">
      <c r="I61" s="1">
        <v>2012</v>
      </c>
      <c r="J61" s="1" t="s">
        <v>1806</v>
      </c>
      <c r="L61" s="1">
        <f>600*100</f>
        <v>60000</v>
      </c>
      <c r="M61" s="1" t="s">
        <v>1809</v>
      </c>
      <c r="O61" s="1" t="s">
        <v>1810</v>
      </c>
    </row>
    <row r="62" spans="1:16" x14ac:dyDescent="0.2">
      <c r="J62" s="1" t="s">
        <v>1807</v>
      </c>
      <c r="M62" s="1" t="s">
        <v>1808</v>
      </c>
    </row>
    <row r="63" spans="1:16" x14ac:dyDescent="0.2">
      <c r="I63" s="1">
        <v>2013</v>
      </c>
      <c r="J63" s="1" t="s">
        <v>1811</v>
      </c>
      <c r="L63" s="1">
        <f>400*100+2000*2</f>
        <v>44000</v>
      </c>
      <c r="M63" s="1" t="s">
        <v>1814</v>
      </c>
      <c r="O63" s="1" t="s">
        <v>1815</v>
      </c>
    </row>
    <row r="64" spans="1:16" x14ac:dyDescent="0.2">
      <c r="J64" s="1" t="s">
        <v>1812</v>
      </c>
      <c r="M64" s="1" t="s">
        <v>1813</v>
      </c>
    </row>
    <row r="66" spans="10:10" x14ac:dyDescent="0.2">
      <c r="J66" s="1" t="s">
        <v>1816</v>
      </c>
    </row>
    <row r="67" spans="10:10" x14ac:dyDescent="0.2">
      <c r="J67" s="1" t="s">
        <v>1817</v>
      </c>
    </row>
    <row r="68" spans="10:10" x14ac:dyDescent="0.2">
      <c r="J68" s="1" t="s">
        <v>1818</v>
      </c>
    </row>
    <row r="69" spans="10:10" x14ac:dyDescent="0.2">
      <c r="J69" s="1" t="s">
        <v>1819</v>
      </c>
    </row>
    <row r="70" spans="10:10" x14ac:dyDescent="0.2">
      <c r="J70" s="1" t="s">
        <v>1820</v>
      </c>
    </row>
    <row r="71" spans="10:10" x14ac:dyDescent="0.2">
      <c r="J71" s="1" t="s">
        <v>1821</v>
      </c>
    </row>
    <row r="72" spans="10:10" x14ac:dyDescent="0.2">
      <c r="J72" s="1" t="s">
        <v>1822</v>
      </c>
    </row>
    <row r="73" spans="10:10" x14ac:dyDescent="0.2">
      <c r="J73" s="1" t="s">
        <v>1823</v>
      </c>
    </row>
    <row r="74" spans="10:10" x14ac:dyDescent="0.2">
      <c r="J74" s="1" t="s">
        <v>1824</v>
      </c>
    </row>
    <row r="75" spans="10:10" x14ac:dyDescent="0.2">
      <c r="J75" s="1" t="s">
        <v>1825</v>
      </c>
    </row>
    <row r="76" spans="10:10" x14ac:dyDescent="0.2">
      <c r="J76" s="1" t="s">
        <v>1826</v>
      </c>
    </row>
    <row r="77" spans="10:10" x14ac:dyDescent="0.2">
      <c r="J77" s="1" t="s">
        <v>1827</v>
      </c>
    </row>
    <row r="78" spans="10:10" x14ac:dyDescent="0.2">
      <c r="J78" s="1" t="s">
        <v>1828</v>
      </c>
    </row>
    <row r="79" spans="10:10" x14ac:dyDescent="0.2">
      <c r="J79" s="1" t="s">
        <v>1829</v>
      </c>
    </row>
    <row r="81" spans="9:16" x14ac:dyDescent="0.2">
      <c r="J81" s="2" t="s">
        <v>1830</v>
      </c>
    </row>
    <row r="83" spans="9:16" x14ac:dyDescent="0.2">
      <c r="J83" s="292" t="s">
        <v>1732</v>
      </c>
      <c r="K83" s="3"/>
      <c r="L83" s="293" t="s">
        <v>1728</v>
      </c>
      <c r="M83" s="294"/>
      <c r="N83" s="294"/>
      <c r="O83" s="295" t="s">
        <v>330</v>
      </c>
      <c r="P83" s="295"/>
    </row>
    <row r="84" spans="9:16" x14ac:dyDescent="0.2">
      <c r="J84" s="292" t="s">
        <v>321</v>
      </c>
      <c r="K84" s="3"/>
      <c r="L84" s="293" t="s">
        <v>325</v>
      </c>
      <c r="M84" s="294"/>
      <c r="N84" s="294"/>
      <c r="O84" s="295" t="s">
        <v>331</v>
      </c>
      <c r="P84" s="295"/>
    </row>
    <row r="85" spans="9:16" x14ac:dyDescent="0.2">
      <c r="J85" s="292" t="s">
        <v>322</v>
      </c>
      <c r="K85" s="3"/>
      <c r="L85" s="293" t="s">
        <v>326</v>
      </c>
      <c r="M85" s="294"/>
      <c r="N85" s="294"/>
      <c r="O85" s="295" t="s">
        <v>332</v>
      </c>
      <c r="P85" s="295"/>
    </row>
    <row r="86" spans="9:16" x14ac:dyDescent="0.2">
      <c r="J86" s="292" t="s">
        <v>323</v>
      </c>
      <c r="K86" s="3"/>
      <c r="L86" s="293" t="s">
        <v>327</v>
      </c>
      <c r="M86" s="294" t="s">
        <v>328</v>
      </c>
      <c r="N86" s="294"/>
      <c r="O86" s="295" t="s">
        <v>333</v>
      </c>
      <c r="P86" s="295"/>
    </row>
    <row r="87" spans="9:16" x14ac:dyDescent="0.2">
      <c r="J87" s="296" t="s">
        <v>324</v>
      </c>
      <c r="K87" s="73"/>
      <c r="L87" s="297" t="s">
        <v>315</v>
      </c>
      <c r="M87" s="298" t="s">
        <v>329</v>
      </c>
      <c r="N87" s="298"/>
      <c r="O87" s="299" t="s">
        <v>334</v>
      </c>
      <c r="P87" s="299"/>
    </row>
    <row r="88" spans="9:16" x14ac:dyDescent="0.2">
      <c r="I88" s="1">
        <v>2012</v>
      </c>
      <c r="J88" s="1" t="s">
        <v>1832</v>
      </c>
      <c r="L88" s="1">
        <f>70000*6/12</f>
        <v>35000</v>
      </c>
      <c r="M88" s="1" t="s">
        <v>1835</v>
      </c>
      <c r="O88" s="1" t="s">
        <v>1837</v>
      </c>
    </row>
    <row r="89" spans="9:16" x14ac:dyDescent="0.2">
      <c r="J89" s="1" t="s">
        <v>1831</v>
      </c>
      <c r="M89" s="1" t="s">
        <v>1836</v>
      </c>
    </row>
    <row r="90" spans="9:16" x14ac:dyDescent="0.2">
      <c r="I90" s="1">
        <v>2013</v>
      </c>
      <c r="J90" s="1" t="s">
        <v>1833</v>
      </c>
      <c r="L90" s="1">
        <f>70000*6/12+63000*6/12</f>
        <v>66500</v>
      </c>
      <c r="M90" s="1" t="s">
        <v>1838</v>
      </c>
      <c r="O90" s="1" t="s">
        <v>1840</v>
      </c>
    </row>
    <row r="91" spans="9:16" x14ac:dyDescent="0.2">
      <c r="J91" s="1" t="s">
        <v>1834</v>
      </c>
      <c r="M91" s="1" t="s">
        <v>1839</v>
      </c>
    </row>
    <row r="93" spans="9:16" x14ac:dyDescent="0.2">
      <c r="J93" s="1" t="s">
        <v>343</v>
      </c>
    </row>
    <row r="94" spans="9:16" x14ac:dyDescent="0.2">
      <c r="J94" s="1" t="s">
        <v>1841</v>
      </c>
    </row>
    <row r="95" spans="9:16" x14ac:dyDescent="0.2">
      <c r="J95" s="1" t="s">
        <v>1842</v>
      </c>
    </row>
    <row r="96" spans="9:16" x14ac:dyDescent="0.2">
      <c r="J96" s="1" t="s">
        <v>1843</v>
      </c>
    </row>
    <row r="97" spans="10:10" x14ac:dyDescent="0.2">
      <c r="J97" s="1" t="s">
        <v>1844</v>
      </c>
    </row>
    <row r="98" spans="10:10" x14ac:dyDescent="0.2">
      <c r="J98" s="1" t="s">
        <v>1845</v>
      </c>
    </row>
    <row r="99" spans="10:10" x14ac:dyDescent="0.2">
      <c r="J99" s="1" t="s">
        <v>1846</v>
      </c>
    </row>
    <row r="100" spans="10:10" x14ac:dyDescent="0.2">
      <c r="J100" s="1" t="s">
        <v>1847</v>
      </c>
    </row>
    <row r="101" spans="10:10" x14ac:dyDescent="0.2">
      <c r="J101" s="1" t="s">
        <v>1848</v>
      </c>
    </row>
    <row r="102" spans="10:10" x14ac:dyDescent="0.2">
      <c r="J102" s="1" t="s">
        <v>1849</v>
      </c>
    </row>
    <row r="103" spans="10:10" x14ac:dyDescent="0.2">
      <c r="J103" s="1" t="s">
        <v>1850</v>
      </c>
    </row>
    <row r="104" spans="10:10" x14ac:dyDescent="0.2">
      <c r="J104" s="1" t="s">
        <v>1851</v>
      </c>
    </row>
    <row r="105" spans="10:10" x14ac:dyDescent="0.2">
      <c r="J105" s="1" t="s">
        <v>1852</v>
      </c>
    </row>
  </sheetData>
  <mergeCells count="3">
    <mergeCell ref="D19:E19"/>
    <mergeCell ref="A1:H1"/>
    <mergeCell ref="D32:E3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16412-1DE0-3B4F-9E90-094EE2663776}">
  <dimension ref="A1:K193"/>
  <sheetViews>
    <sheetView showGridLines="0" rightToLeft="1" topLeftCell="A113" zoomScale="281" workbookViewId="0">
      <selection activeCell="H145" sqref="H145"/>
    </sheetView>
  </sheetViews>
  <sheetFormatPr baseColWidth="10" defaultRowHeight="16" x14ac:dyDescent="0.2"/>
  <cols>
    <col min="1" max="16384" width="10.83203125" style="1"/>
  </cols>
  <sheetData>
    <row r="1" spans="1:8" x14ac:dyDescent="0.2">
      <c r="A1" s="829" t="s">
        <v>3889</v>
      </c>
      <c r="B1" s="829"/>
      <c r="C1" s="829"/>
      <c r="D1" s="829"/>
      <c r="E1" s="829"/>
      <c r="F1" s="829"/>
      <c r="G1" s="829"/>
      <c r="H1" s="829"/>
    </row>
    <row r="3" spans="1:8" ht="36" x14ac:dyDescent="0.4">
      <c r="A3" s="11" t="s">
        <v>3890</v>
      </c>
      <c r="B3" s="3"/>
      <c r="C3" s="3"/>
      <c r="D3" s="3"/>
      <c r="E3" s="3"/>
      <c r="F3" s="3"/>
      <c r="G3" s="3"/>
      <c r="H3" s="250"/>
    </row>
    <row r="5" spans="1:8" x14ac:dyDescent="0.2">
      <c r="A5" s="85" t="s">
        <v>352</v>
      </c>
      <c r="B5" s="16"/>
      <c r="C5" s="16"/>
      <c r="D5" s="16"/>
      <c r="E5" s="16"/>
      <c r="F5" s="16"/>
      <c r="G5" s="16"/>
      <c r="H5" s="16"/>
    </row>
    <row r="7" spans="1:8" x14ac:dyDescent="0.2">
      <c r="A7" s="2" t="s">
        <v>353</v>
      </c>
    </row>
    <row r="8" spans="1:8" x14ac:dyDescent="0.2">
      <c r="A8" s="1" t="s">
        <v>354</v>
      </c>
    </row>
    <row r="9" spans="1:8" x14ac:dyDescent="0.2">
      <c r="A9" s="1" t="s">
        <v>355</v>
      </c>
    </row>
    <row r="10" spans="1:8" x14ac:dyDescent="0.2">
      <c r="A10" s="1" t="s">
        <v>356</v>
      </c>
    </row>
    <row r="11" spans="1:8" x14ac:dyDescent="0.2">
      <c r="A11" s="1" t="s">
        <v>357</v>
      </c>
    </row>
    <row r="13" spans="1:8" x14ac:dyDescent="0.2">
      <c r="A13" s="2" t="s">
        <v>358</v>
      </c>
    </row>
    <row r="14" spans="1:8" x14ac:dyDescent="0.2">
      <c r="A14" s="1" t="s">
        <v>359</v>
      </c>
    </row>
    <row r="15" spans="1:8" x14ac:dyDescent="0.2">
      <c r="A15" s="1" t="s">
        <v>360</v>
      </c>
    </row>
    <row r="17" spans="1:8" x14ac:dyDescent="0.2">
      <c r="A17" s="2" t="s">
        <v>361</v>
      </c>
    </row>
    <row r="18" spans="1:8" x14ac:dyDescent="0.2">
      <c r="A18" s="7" t="s">
        <v>3926</v>
      </c>
      <c r="B18" s="7"/>
      <c r="C18" s="7"/>
      <c r="D18" s="7"/>
      <c r="E18" s="3"/>
      <c r="F18" s="3"/>
      <c r="G18" s="3"/>
      <c r="H18" s="3"/>
    </row>
    <row r="19" spans="1:8" x14ac:dyDescent="0.2">
      <c r="A19" s="1" t="s">
        <v>362</v>
      </c>
    </row>
    <row r="20" spans="1:8" x14ac:dyDescent="0.2">
      <c r="A20" s="1" t="s">
        <v>363</v>
      </c>
    </row>
    <row r="21" spans="1:8" x14ac:dyDescent="0.2">
      <c r="A21" s="1" t="s">
        <v>364</v>
      </c>
    </row>
    <row r="22" spans="1:8" x14ac:dyDescent="0.2">
      <c r="A22" s="7" t="s">
        <v>365</v>
      </c>
      <c r="B22" s="7"/>
      <c r="C22" s="7"/>
      <c r="D22" s="7"/>
      <c r="E22" s="7"/>
      <c r="F22" s="7"/>
      <c r="G22" s="7"/>
      <c r="H22" s="3"/>
    </row>
    <row r="23" spans="1:8" x14ac:dyDescent="0.2">
      <c r="A23" s="7" t="s">
        <v>366</v>
      </c>
      <c r="B23" s="7"/>
      <c r="C23" s="7"/>
      <c r="D23" s="7"/>
      <c r="E23" s="7"/>
      <c r="F23" s="7"/>
      <c r="G23" s="7"/>
      <c r="H23" s="3"/>
    </row>
    <row r="25" spans="1:8" x14ac:dyDescent="0.2">
      <c r="A25" s="7" t="s">
        <v>3927</v>
      </c>
      <c r="B25" s="3"/>
      <c r="C25" s="3"/>
      <c r="D25" s="3"/>
      <c r="E25" s="3"/>
      <c r="F25" s="3"/>
      <c r="G25" s="3"/>
      <c r="H25" s="3"/>
    </row>
    <row r="26" spans="1:8" x14ac:dyDescent="0.2">
      <c r="A26" s="1" t="s">
        <v>3928</v>
      </c>
    </row>
    <row r="27" spans="1:8" x14ac:dyDescent="0.2">
      <c r="A27" s="1" t="s">
        <v>3929</v>
      </c>
    </row>
    <row r="28" spans="1:8" x14ac:dyDescent="0.2">
      <c r="A28" s="8" t="s">
        <v>367</v>
      </c>
    </row>
    <row r="29" spans="1:8" x14ac:dyDescent="0.2">
      <c r="A29" s="8" t="s">
        <v>368</v>
      </c>
    </row>
    <row r="31" spans="1:8" x14ac:dyDescent="0.2">
      <c r="C31" s="36" t="s">
        <v>372</v>
      </c>
    </row>
    <row r="32" spans="1:8" x14ac:dyDescent="0.2">
      <c r="A32" s="1" t="s">
        <v>369</v>
      </c>
      <c r="C32" s="41">
        <v>100000</v>
      </c>
      <c r="D32" s="1" t="s">
        <v>3891</v>
      </c>
    </row>
    <row r="33" spans="1:8" x14ac:dyDescent="0.2">
      <c r="A33" s="1" t="s">
        <v>370</v>
      </c>
      <c r="C33" s="44">
        <v>-20000</v>
      </c>
      <c r="D33" s="1" t="s">
        <v>3930</v>
      </c>
    </row>
    <row r="34" spans="1:8" x14ac:dyDescent="0.2">
      <c r="A34" s="1" t="s">
        <v>371</v>
      </c>
      <c r="C34" s="601">
        <f>C32+C33</f>
        <v>80000</v>
      </c>
      <c r="D34" s="1" t="s">
        <v>3892</v>
      </c>
    </row>
    <row r="36" spans="1:8" x14ac:dyDescent="0.2">
      <c r="A36" s="2" t="s">
        <v>3931</v>
      </c>
    </row>
    <row r="37" spans="1:8" x14ac:dyDescent="0.2">
      <c r="A37" s="1" t="s">
        <v>3935</v>
      </c>
    </row>
    <row r="38" spans="1:8" x14ac:dyDescent="0.2">
      <c r="A38" s="1" t="s">
        <v>3932</v>
      </c>
    </row>
    <row r="39" spans="1:8" x14ac:dyDescent="0.2">
      <c r="A39" s="1" t="s">
        <v>3933</v>
      </c>
    </row>
    <row r="40" spans="1:8" x14ac:dyDescent="0.2">
      <c r="A40" s="1" t="s">
        <v>3934</v>
      </c>
    </row>
    <row r="42" spans="1:8" x14ac:dyDescent="0.2">
      <c r="A42" s="2" t="s">
        <v>373</v>
      </c>
    </row>
    <row r="43" spans="1:8" x14ac:dyDescent="0.2">
      <c r="A43" s="1" t="s">
        <v>374</v>
      </c>
    </row>
    <row r="45" spans="1:8" x14ac:dyDescent="0.2">
      <c r="A45" s="7" t="s">
        <v>397</v>
      </c>
      <c r="B45" s="3"/>
      <c r="C45" s="3"/>
      <c r="D45" s="3"/>
      <c r="E45" s="3"/>
      <c r="F45" s="3"/>
      <c r="G45" s="3"/>
      <c r="H45" s="3"/>
    </row>
    <row r="46" spans="1:8" x14ac:dyDescent="0.2">
      <c r="A46" s="1" t="s">
        <v>3061</v>
      </c>
    </row>
    <row r="47" spans="1:8" x14ac:dyDescent="0.2">
      <c r="A47" s="1" t="s">
        <v>375</v>
      </c>
    </row>
    <row r="49" spans="1:9" x14ac:dyDescent="0.2">
      <c r="A49" s="1" t="s">
        <v>376</v>
      </c>
      <c r="I49" s="1" t="s">
        <v>3893</v>
      </c>
    </row>
    <row r="50" spans="1:9" x14ac:dyDescent="0.2">
      <c r="A50" s="1" t="s">
        <v>377</v>
      </c>
      <c r="I50" s="1" t="s">
        <v>3894</v>
      </c>
    </row>
    <row r="52" spans="1:9" x14ac:dyDescent="0.2">
      <c r="A52" s="1" t="s">
        <v>378</v>
      </c>
      <c r="B52" s="13"/>
      <c r="I52" s="1" t="s">
        <v>3895</v>
      </c>
    </row>
    <row r="53" spans="1:9" x14ac:dyDescent="0.2">
      <c r="B53" s="13"/>
      <c r="I53" s="1" t="s">
        <v>3896</v>
      </c>
    </row>
    <row r="54" spans="1:9" x14ac:dyDescent="0.2">
      <c r="B54" s="13"/>
    </row>
    <row r="55" spans="1:9" x14ac:dyDescent="0.2">
      <c r="A55" s="1" t="s">
        <v>379</v>
      </c>
      <c r="I55" s="1" t="s">
        <v>3897</v>
      </c>
    </row>
    <row r="56" spans="1:9" x14ac:dyDescent="0.2">
      <c r="I56" s="1" t="s">
        <v>3898</v>
      </c>
    </row>
    <row r="57" spans="1:9" x14ac:dyDescent="0.2">
      <c r="I57" s="1" t="s">
        <v>3899</v>
      </c>
    </row>
    <row r="59" spans="1:9" x14ac:dyDescent="0.2">
      <c r="A59" s="1" t="s">
        <v>380</v>
      </c>
      <c r="I59" s="1" t="s">
        <v>3900</v>
      </c>
    </row>
    <row r="61" spans="1:9" x14ac:dyDescent="0.2">
      <c r="A61" s="1" t="s">
        <v>381</v>
      </c>
      <c r="I61" s="1" t="s">
        <v>3901</v>
      </c>
    </row>
    <row r="63" spans="1:9" x14ac:dyDescent="0.2">
      <c r="A63" s="1" t="s">
        <v>383</v>
      </c>
      <c r="I63" s="1" t="s">
        <v>3902</v>
      </c>
    </row>
    <row r="64" spans="1:9" x14ac:dyDescent="0.2">
      <c r="I64" s="1" t="s">
        <v>3903</v>
      </c>
    </row>
    <row r="66" spans="1:7" x14ac:dyDescent="0.2">
      <c r="A66" s="1" t="s">
        <v>382</v>
      </c>
    </row>
    <row r="68" spans="1:7" x14ac:dyDescent="0.2">
      <c r="A68" s="2" t="s">
        <v>384</v>
      </c>
    </row>
    <row r="70" spans="1:7" x14ac:dyDescent="0.2">
      <c r="A70" s="1" t="s">
        <v>3062</v>
      </c>
      <c r="E70" s="1" t="s">
        <v>3063</v>
      </c>
    </row>
    <row r="71" spans="1:7" ht="17" thickBot="1" x14ac:dyDescent="0.25"/>
    <row r="72" spans="1:7" ht="17" thickBot="1" x14ac:dyDescent="0.25">
      <c r="A72" s="2"/>
      <c r="B72" s="900" t="s">
        <v>369</v>
      </c>
      <c r="C72" s="901"/>
      <c r="D72" s="898" t="s">
        <v>370</v>
      </c>
      <c r="E72" s="899"/>
      <c r="F72" s="898" t="s">
        <v>385</v>
      </c>
      <c r="G72" s="899"/>
    </row>
    <row r="73" spans="1:7" x14ac:dyDescent="0.2">
      <c r="A73" s="81" t="s">
        <v>386</v>
      </c>
      <c r="B73" s="9" t="s">
        <v>155</v>
      </c>
      <c r="C73" s="9" t="s">
        <v>156</v>
      </c>
      <c r="D73" s="246" t="s">
        <v>155</v>
      </c>
      <c r="E73" s="246" t="s">
        <v>156</v>
      </c>
      <c r="F73" s="246" t="s">
        <v>155</v>
      </c>
      <c r="G73" s="246" t="s">
        <v>156</v>
      </c>
    </row>
    <row r="74" spans="1:7" x14ac:dyDescent="0.2">
      <c r="A74" s="1" t="s">
        <v>275</v>
      </c>
      <c r="B74" s="247">
        <v>200000</v>
      </c>
      <c r="E74" s="6"/>
    </row>
    <row r="75" spans="1:7" ht="17" thickBot="1" x14ac:dyDescent="0.25">
      <c r="A75" s="1" t="s">
        <v>276</v>
      </c>
      <c r="C75" s="247">
        <v>70000</v>
      </c>
    </row>
    <row r="76" spans="1:7" ht="17" thickBot="1" x14ac:dyDescent="0.25">
      <c r="A76" s="1" t="s">
        <v>279</v>
      </c>
      <c r="E76" s="439">
        <f>E77</f>
        <v>13000</v>
      </c>
      <c r="F76" s="514">
        <f>E76</f>
        <v>13000</v>
      </c>
    </row>
    <row r="77" spans="1:7" ht="17" thickBot="1" x14ac:dyDescent="0.25">
      <c r="A77" s="202" t="s">
        <v>400</v>
      </c>
      <c r="B77" s="513">
        <f>B74-C75</f>
        <v>130000</v>
      </c>
      <c r="C77" s="902"/>
      <c r="D77" s="903"/>
      <c r="E77" s="607">
        <f>B77*10%</f>
        <v>13000</v>
      </c>
      <c r="F77" s="103"/>
      <c r="G77" s="103"/>
    </row>
    <row r="78" spans="1:7" x14ac:dyDescent="0.2">
      <c r="A78" s="87" t="s">
        <v>280</v>
      </c>
      <c r="B78" s="247">
        <v>500000</v>
      </c>
    </row>
    <row r="79" spans="1:7" x14ac:dyDescent="0.2">
      <c r="A79" s="87" t="s">
        <v>277</v>
      </c>
      <c r="C79" s="41">
        <v>320000</v>
      </c>
    </row>
    <row r="80" spans="1:7" ht="17" thickBot="1" x14ac:dyDescent="0.25">
      <c r="A80" s="87" t="s">
        <v>281</v>
      </c>
      <c r="C80" s="247">
        <f>D80</f>
        <v>4000</v>
      </c>
      <c r="D80" s="41">
        <v>4000</v>
      </c>
    </row>
    <row r="81" spans="1:6" ht="17" thickBot="1" x14ac:dyDescent="0.25">
      <c r="A81" s="87" t="s">
        <v>282</v>
      </c>
      <c r="E81" s="90">
        <f>30600-9000</f>
        <v>21600</v>
      </c>
      <c r="F81" s="514">
        <f>E81</f>
        <v>21600</v>
      </c>
    </row>
    <row r="82" spans="1:6" ht="17" thickBot="1" x14ac:dyDescent="0.25">
      <c r="A82" s="87" t="s">
        <v>415</v>
      </c>
      <c r="B82" s="513">
        <f>B77+B78-C79-C80</f>
        <v>306000</v>
      </c>
      <c r="C82" s="904"/>
      <c r="D82" s="905"/>
      <c r="E82" s="438">
        <f>B82*10%</f>
        <v>30600</v>
      </c>
    </row>
    <row r="84" spans="1:6" x14ac:dyDescent="0.2">
      <c r="A84" s="2" t="s">
        <v>395</v>
      </c>
    </row>
    <row r="85" spans="1:6" x14ac:dyDescent="0.2">
      <c r="D85" s="86">
        <v>44196</v>
      </c>
      <c r="E85" s="86">
        <v>44561</v>
      </c>
    </row>
    <row r="86" spans="1:6" x14ac:dyDescent="0.2">
      <c r="A86" s="1" t="s">
        <v>1854</v>
      </c>
      <c r="D86" s="558">
        <f>B77</f>
        <v>130000</v>
      </c>
      <c r="E86" s="558">
        <f>B82</f>
        <v>306000</v>
      </c>
    </row>
    <row r="87" spans="1:6" x14ac:dyDescent="0.2">
      <c r="A87" s="1" t="s">
        <v>1855</v>
      </c>
      <c r="D87" s="600">
        <f>-E77</f>
        <v>-13000</v>
      </c>
      <c r="E87" s="600">
        <f>-E82</f>
        <v>-30600</v>
      </c>
    </row>
    <row r="88" spans="1:6" x14ac:dyDescent="0.2">
      <c r="A88" s="1" t="s">
        <v>1856</v>
      </c>
      <c r="D88" s="601">
        <f>D86+D87</f>
        <v>117000</v>
      </c>
      <c r="E88" s="601">
        <f>E86+E87</f>
        <v>275400</v>
      </c>
    </row>
    <row r="89" spans="1:6" x14ac:dyDescent="0.2">
      <c r="D89" s="6"/>
      <c r="E89" s="6"/>
    </row>
    <row r="90" spans="1:6" x14ac:dyDescent="0.2">
      <c r="A90" s="1" t="s">
        <v>2527</v>
      </c>
      <c r="D90" s="602">
        <f>F76</f>
        <v>13000</v>
      </c>
      <c r="E90" s="602">
        <f>F81</f>
        <v>21600</v>
      </c>
    </row>
    <row r="92" spans="1:6" x14ac:dyDescent="0.2">
      <c r="A92" s="1" t="s">
        <v>401</v>
      </c>
    </row>
    <row r="93" spans="1:6" x14ac:dyDescent="0.2">
      <c r="A93" s="1" t="s">
        <v>404</v>
      </c>
    </row>
    <row r="94" spans="1:6" x14ac:dyDescent="0.2">
      <c r="A94" s="1" t="s">
        <v>405</v>
      </c>
    </row>
    <row r="95" spans="1:6" x14ac:dyDescent="0.2">
      <c r="A95" s="1" t="s">
        <v>402</v>
      </c>
    </row>
    <row r="96" spans="1:6" x14ac:dyDescent="0.2">
      <c r="A96" s="1" t="s">
        <v>403</v>
      </c>
    </row>
    <row r="97" spans="1:8" x14ac:dyDescent="0.2">
      <c r="A97" s="1" t="s">
        <v>406</v>
      </c>
    </row>
    <row r="98" spans="1:8" x14ac:dyDescent="0.2">
      <c r="B98" s="1" t="s">
        <v>407</v>
      </c>
      <c r="E98" s="1">
        <v>0</v>
      </c>
      <c r="F98" s="1" t="s">
        <v>408</v>
      </c>
    </row>
    <row r="99" spans="1:8" ht="17" thickBot="1" x14ac:dyDescent="0.25">
      <c r="B99" s="1" t="s">
        <v>410</v>
      </c>
      <c r="E99" s="24">
        <f>E100</f>
        <v>13000</v>
      </c>
    </row>
    <row r="100" spans="1:8" ht="17" thickBot="1" x14ac:dyDescent="0.25">
      <c r="B100" s="1" t="s">
        <v>409</v>
      </c>
      <c r="E100" s="26">
        <v>13000</v>
      </c>
    </row>
    <row r="101" spans="1:8" x14ac:dyDescent="0.2">
      <c r="E101" s="24"/>
    </row>
    <row r="102" spans="1:8" x14ac:dyDescent="0.2">
      <c r="A102" s="2" t="s">
        <v>411</v>
      </c>
      <c r="E102" s="24"/>
    </row>
    <row r="103" spans="1:8" x14ac:dyDescent="0.2">
      <c r="A103" s="1" t="s">
        <v>412</v>
      </c>
      <c r="E103" s="24"/>
    </row>
    <row r="104" spans="1:8" x14ac:dyDescent="0.2">
      <c r="A104" s="1" t="s">
        <v>413</v>
      </c>
      <c r="D104" s="24">
        <v>4000</v>
      </c>
      <c r="E104" s="24"/>
    </row>
    <row r="105" spans="1:8" x14ac:dyDescent="0.2">
      <c r="A105" s="1" t="s">
        <v>414</v>
      </c>
      <c r="D105" s="24">
        <f>D104</f>
        <v>4000</v>
      </c>
      <c r="E105" s="24"/>
    </row>
    <row r="106" spans="1:8" x14ac:dyDescent="0.2">
      <c r="D106" s="24"/>
      <c r="E106" s="24"/>
    </row>
    <row r="107" spans="1:8" x14ac:dyDescent="0.2">
      <c r="A107" s="2" t="s">
        <v>416</v>
      </c>
      <c r="D107" s="24"/>
      <c r="E107" s="24"/>
    </row>
    <row r="108" spans="1:8" x14ac:dyDescent="0.2">
      <c r="A108" s="1" t="s">
        <v>417</v>
      </c>
      <c r="D108" s="24"/>
      <c r="F108" s="24">
        <f>E100</f>
        <v>13000</v>
      </c>
      <c r="G108" s="906">
        <v>9000</v>
      </c>
    </row>
    <row r="109" spans="1:8" ht="17" thickBot="1" x14ac:dyDescent="0.25">
      <c r="A109" s="1" t="s">
        <v>418</v>
      </c>
      <c r="D109" s="24"/>
      <c r="E109" s="24"/>
      <c r="F109" s="24">
        <v>-4000</v>
      </c>
      <c r="G109" s="906"/>
    </row>
    <row r="110" spans="1:8" ht="17" thickBot="1" x14ac:dyDescent="0.25">
      <c r="A110" s="2" t="s">
        <v>420</v>
      </c>
      <c r="D110" s="24"/>
      <c r="E110" s="24"/>
      <c r="F110" s="92">
        <f>F111-G108</f>
        <v>21600</v>
      </c>
      <c r="H110" s="1" t="s">
        <v>421</v>
      </c>
    </row>
    <row r="111" spans="1:8" x14ac:dyDescent="0.2">
      <c r="A111" s="1" t="s">
        <v>419</v>
      </c>
      <c r="D111" s="24"/>
      <c r="E111" s="24"/>
      <c r="F111" s="24">
        <v>30600</v>
      </c>
    </row>
    <row r="112" spans="1:8" x14ac:dyDescent="0.2">
      <c r="D112" s="24"/>
      <c r="E112" s="24"/>
    </row>
    <row r="113" spans="1:8" x14ac:dyDescent="0.2">
      <c r="D113" s="24"/>
      <c r="E113" s="24"/>
    </row>
    <row r="114" spans="1:8" ht="17" thickBot="1" x14ac:dyDescent="0.25"/>
    <row r="115" spans="1:8" ht="17" thickBot="1" x14ac:dyDescent="0.25">
      <c r="A115" s="283" t="s">
        <v>422</v>
      </c>
      <c r="B115" s="121"/>
      <c r="C115" s="121"/>
      <c r="D115" s="121"/>
      <c r="E115" s="121"/>
      <c r="F115" s="121"/>
      <c r="G115" s="147"/>
    </row>
    <row r="116" spans="1:8" ht="17" thickBot="1" x14ac:dyDescent="0.25"/>
    <row r="117" spans="1:8" x14ac:dyDescent="0.2">
      <c r="B117" s="849" t="s">
        <v>423</v>
      </c>
      <c r="C117" s="850"/>
      <c r="D117" s="849" t="s">
        <v>370</v>
      </c>
      <c r="E117" s="850"/>
      <c r="F117" s="849" t="s">
        <v>424</v>
      </c>
      <c r="G117" s="850"/>
    </row>
    <row r="118" spans="1:8" x14ac:dyDescent="0.2">
      <c r="B118" s="59" t="s">
        <v>155</v>
      </c>
      <c r="C118" s="60" t="s">
        <v>156</v>
      </c>
      <c r="D118" s="59" t="s">
        <v>155</v>
      </c>
      <c r="E118" s="60" t="s">
        <v>156</v>
      </c>
      <c r="F118" s="59" t="s">
        <v>155</v>
      </c>
      <c r="G118" s="60" t="s">
        <v>156</v>
      </c>
    </row>
    <row r="119" spans="1:8" x14ac:dyDescent="0.2">
      <c r="A119" s="1" t="s">
        <v>425</v>
      </c>
      <c r="B119" s="106"/>
      <c r="C119" s="107"/>
      <c r="D119" s="106"/>
      <c r="E119" s="107"/>
      <c r="F119" s="106"/>
      <c r="G119" s="107"/>
    </row>
    <row r="120" spans="1:8" ht="34" x14ac:dyDescent="0.2">
      <c r="B120" s="515" t="s">
        <v>426</v>
      </c>
      <c r="C120" s="516" t="s">
        <v>427</v>
      </c>
      <c r="D120" s="63"/>
      <c r="E120" s="62"/>
      <c r="F120" s="63"/>
      <c r="G120" s="62"/>
    </row>
    <row r="121" spans="1:8" x14ac:dyDescent="0.2">
      <c r="B121" s="63"/>
      <c r="C121" s="517" t="s">
        <v>428</v>
      </c>
      <c r="D121" s="518" t="s">
        <v>428</v>
      </c>
      <c r="E121" s="62"/>
      <c r="F121" s="63"/>
      <c r="G121" s="62"/>
    </row>
    <row r="122" spans="1:8" x14ac:dyDescent="0.2">
      <c r="B122" s="63"/>
      <c r="C122" s="62"/>
      <c r="D122" s="63"/>
      <c r="E122" s="519" t="s">
        <v>429</v>
      </c>
      <c r="F122" s="520" t="s">
        <v>424</v>
      </c>
      <c r="G122" s="62"/>
    </row>
    <row r="123" spans="1:8" ht="51" customHeight="1" thickBot="1" x14ac:dyDescent="0.25">
      <c r="A123" s="1" t="s">
        <v>430</v>
      </c>
      <c r="B123" s="521" t="s">
        <v>431</v>
      </c>
      <c r="C123" s="522" t="s">
        <v>432</v>
      </c>
      <c r="D123" s="523"/>
      <c r="E123" s="522" t="s">
        <v>433</v>
      </c>
      <c r="F123" s="524"/>
      <c r="G123" s="413"/>
    </row>
    <row r="125" spans="1:8" x14ac:dyDescent="0.2">
      <c r="A125" s="53" t="s">
        <v>3904</v>
      </c>
      <c r="B125" s="53"/>
      <c r="C125" s="53"/>
      <c r="D125" s="53"/>
      <c r="E125" s="53"/>
      <c r="F125" s="53"/>
      <c r="G125" s="53"/>
      <c r="H125" s="53"/>
    </row>
    <row r="126" spans="1:8" x14ac:dyDescent="0.2">
      <c r="A126" s="1" t="s">
        <v>3911</v>
      </c>
    </row>
    <row r="127" spans="1:8" x14ac:dyDescent="0.2">
      <c r="A127" s="1" t="s">
        <v>3905</v>
      </c>
    </row>
    <row r="129" spans="1:11" x14ac:dyDescent="0.2">
      <c r="A129" s="1">
        <v>2021</v>
      </c>
      <c r="E129" s="1">
        <v>2022</v>
      </c>
    </row>
    <row r="130" spans="1:11" x14ac:dyDescent="0.2">
      <c r="A130" s="1" t="s">
        <v>3906</v>
      </c>
      <c r="E130" s="1" t="s">
        <v>3912</v>
      </c>
    </row>
    <row r="131" spans="1:11" x14ac:dyDescent="0.2">
      <c r="A131" s="1" t="s">
        <v>3907</v>
      </c>
      <c r="E131" s="1" t="s">
        <v>3913</v>
      </c>
    </row>
    <row r="132" spans="1:11" x14ac:dyDescent="0.2">
      <c r="A132" s="1" t="s">
        <v>3908</v>
      </c>
      <c r="E132" s="1" t="s">
        <v>3914</v>
      </c>
    </row>
    <row r="133" spans="1:11" x14ac:dyDescent="0.2">
      <c r="A133" s="1" t="s">
        <v>3909</v>
      </c>
      <c r="E133" s="1" t="s">
        <v>3915</v>
      </c>
    </row>
    <row r="134" spans="1:11" x14ac:dyDescent="0.2">
      <c r="A134" s="1" t="s">
        <v>3910</v>
      </c>
    </row>
    <row r="136" spans="1:11" x14ac:dyDescent="0.2">
      <c r="A136" s="1" t="s">
        <v>3916</v>
      </c>
    </row>
    <row r="137" spans="1:11" ht="17" thickBot="1" x14ac:dyDescent="0.25"/>
    <row r="138" spans="1:11" x14ac:dyDescent="0.2">
      <c r="B138" s="849" t="s">
        <v>423</v>
      </c>
      <c r="C138" s="850"/>
      <c r="D138" s="849" t="s">
        <v>370</v>
      </c>
      <c r="E138" s="850"/>
      <c r="F138" s="849" t="s">
        <v>424</v>
      </c>
      <c r="G138" s="850"/>
      <c r="I138" s="18" t="s">
        <v>3925</v>
      </c>
      <c r="J138" s="100"/>
      <c r="K138" s="19"/>
    </row>
    <row r="139" spans="1:11" x14ac:dyDescent="0.2">
      <c r="B139" s="59" t="s">
        <v>155</v>
      </c>
      <c r="C139" s="60" t="s">
        <v>156</v>
      </c>
      <c r="D139" s="59" t="s">
        <v>155</v>
      </c>
      <c r="E139" s="60" t="s">
        <v>156</v>
      </c>
      <c r="F139" s="59" t="s">
        <v>155</v>
      </c>
      <c r="G139" s="60" t="s">
        <v>156</v>
      </c>
      <c r="I139" s="106"/>
      <c r="K139" s="107"/>
    </row>
    <row r="140" spans="1:11" x14ac:dyDescent="0.2">
      <c r="A140" s="87" t="s">
        <v>399</v>
      </c>
      <c r="B140" s="61">
        <v>30000</v>
      </c>
      <c r="C140" s="107"/>
      <c r="D140" s="106"/>
      <c r="E140" s="62">
        <f>5%*B140</f>
        <v>1500</v>
      </c>
      <c r="F140" s="106"/>
      <c r="G140" s="107"/>
      <c r="I140" s="604">
        <v>44561</v>
      </c>
      <c r="K140" s="107"/>
    </row>
    <row r="141" spans="1:11" ht="34" x14ac:dyDescent="0.2">
      <c r="A141" s="30" t="s">
        <v>3918</v>
      </c>
      <c r="B141" s="515">
        <v>200000</v>
      </c>
      <c r="C141" s="516">
        <v>180000</v>
      </c>
      <c r="D141" s="63"/>
      <c r="E141" s="62"/>
      <c r="F141" s="63"/>
      <c r="G141" s="62"/>
      <c r="I141" s="106" t="s">
        <v>575</v>
      </c>
      <c r="K141" s="605">
        <f>B144</f>
        <v>50000</v>
      </c>
    </row>
    <row r="142" spans="1:11" ht="17" thickBot="1" x14ac:dyDescent="0.25">
      <c r="A142" s="1" t="s">
        <v>428</v>
      </c>
      <c r="B142" s="63"/>
      <c r="C142" s="517" t="s">
        <v>3240</v>
      </c>
      <c r="D142" s="518" t="s">
        <v>3240</v>
      </c>
      <c r="E142" s="62"/>
      <c r="F142" s="63"/>
      <c r="G142" s="62"/>
      <c r="I142" s="106" t="s">
        <v>3919</v>
      </c>
      <c r="K142" s="605">
        <f>-E144</f>
        <v>-2500</v>
      </c>
    </row>
    <row r="143" spans="1:11" ht="17" thickBot="1" x14ac:dyDescent="0.25">
      <c r="A143" s="1" t="s">
        <v>429</v>
      </c>
      <c r="B143" s="63"/>
      <c r="C143" s="62"/>
      <c r="D143" s="63"/>
      <c r="E143" s="519">
        <f>E144-E140</f>
        <v>1000</v>
      </c>
      <c r="F143" s="520">
        <f>E143</f>
        <v>1000</v>
      </c>
      <c r="G143" s="62"/>
      <c r="I143" s="106" t="s">
        <v>395</v>
      </c>
      <c r="K143" s="140">
        <f>K141+K142</f>
        <v>47500</v>
      </c>
    </row>
    <row r="144" spans="1:11" ht="51" customHeight="1" thickBot="1" x14ac:dyDescent="0.25">
      <c r="A144" s="87" t="s">
        <v>415</v>
      </c>
      <c r="B144" s="603">
        <f>30000+200000-180000</f>
        <v>50000</v>
      </c>
      <c r="C144" s="522"/>
      <c r="D144" s="523"/>
      <c r="E144" s="522">
        <f>5%*50000</f>
        <v>2500</v>
      </c>
      <c r="F144" s="524"/>
      <c r="G144" s="413"/>
      <c r="I144" s="106" t="s">
        <v>385</v>
      </c>
      <c r="K144" s="605">
        <f>F143</f>
        <v>1000</v>
      </c>
    </row>
    <row r="145" spans="1:11" x14ac:dyDescent="0.2">
      <c r="A145" s="1" t="s">
        <v>3917</v>
      </c>
      <c r="B145" s="515">
        <f>500000-290000</f>
        <v>210000</v>
      </c>
      <c r="C145" s="516">
        <v>140000</v>
      </c>
      <c r="D145" s="63"/>
      <c r="E145" s="62"/>
      <c r="F145" s="63"/>
      <c r="G145" s="62"/>
      <c r="I145" s="106"/>
      <c r="K145" s="107"/>
    </row>
    <row r="146" spans="1:11" x14ac:dyDescent="0.2">
      <c r="A146" s="1" t="s">
        <v>428</v>
      </c>
      <c r="B146" s="63"/>
      <c r="C146" s="517">
        <v>9000</v>
      </c>
      <c r="D146" s="518">
        <v>9000</v>
      </c>
      <c r="E146" s="62"/>
      <c r="F146" s="63"/>
      <c r="G146" s="62"/>
      <c r="I146" s="106"/>
      <c r="K146" s="107"/>
    </row>
    <row r="147" spans="1:11" x14ac:dyDescent="0.2">
      <c r="A147" s="1" t="s">
        <v>429</v>
      </c>
      <c r="B147" s="63"/>
      <c r="C147" s="62"/>
      <c r="D147" s="63"/>
      <c r="E147" s="608">
        <f>F153</f>
        <v>14270</v>
      </c>
      <c r="F147" s="609">
        <f>E147</f>
        <v>14270</v>
      </c>
      <c r="G147" s="62"/>
      <c r="I147" s="106"/>
      <c r="K147" s="107"/>
    </row>
    <row r="148" spans="1:11" ht="65" customHeight="1" thickBot="1" x14ac:dyDescent="0.25">
      <c r="A148" s="87" t="s">
        <v>611</v>
      </c>
      <c r="B148" s="521">
        <f>50000+210000-140000-9000</f>
        <v>111000</v>
      </c>
      <c r="C148" s="522"/>
      <c r="D148" s="523"/>
      <c r="E148" s="522">
        <f>7%*111000</f>
        <v>7770.0000000000009</v>
      </c>
      <c r="F148" s="524"/>
      <c r="G148" s="413"/>
      <c r="I148" s="604">
        <v>44926</v>
      </c>
      <c r="K148" s="107"/>
    </row>
    <row r="149" spans="1:11" x14ac:dyDescent="0.2">
      <c r="I149" s="106" t="s">
        <v>575</v>
      </c>
      <c r="K149" s="605">
        <f>B148</f>
        <v>111000</v>
      </c>
    </row>
    <row r="150" spans="1:11" ht="17" thickBot="1" x14ac:dyDescent="0.25">
      <c r="D150" s="1" t="s">
        <v>3920</v>
      </c>
      <c r="I150" s="106" t="s">
        <v>3919</v>
      </c>
      <c r="K150" s="605">
        <f>-E148</f>
        <v>-7770.0000000000009</v>
      </c>
    </row>
    <row r="151" spans="1:11" ht="17" thickBot="1" x14ac:dyDescent="0.25">
      <c r="D151" s="1" t="s">
        <v>3921</v>
      </c>
      <c r="F151" s="44">
        <v>2500</v>
      </c>
      <c r="G151" s="6"/>
      <c r="I151" s="106" t="s">
        <v>395</v>
      </c>
      <c r="K151" s="140">
        <f>K149+K150</f>
        <v>103230</v>
      </c>
    </row>
    <row r="152" spans="1:11" x14ac:dyDescent="0.2">
      <c r="D152" s="1" t="s">
        <v>3924</v>
      </c>
      <c r="F152" s="44">
        <f>-D146</f>
        <v>-9000</v>
      </c>
      <c r="G152" s="6"/>
      <c r="I152" s="106"/>
      <c r="K152" s="107"/>
    </row>
    <row r="153" spans="1:11" ht="17" thickBot="1" x14ac:dyDescent="0.25">
      <c r="D153" s="1" t="s">
        <v>3923</v>
      </c>
      <c r="F153" s="408">
        <f>F154-F152-F151</f>
        <v>14270</v>
      </c>
      <c r="G153" s="6" t="s">
        <v>1869</v>
      </c>
      <c r="I153" s="20" t="s">
        <v>385</v>
      </c>
      <c r="J153" s="103"/>
      <c r="K153" s="606">
        <f>F147</f>
        <v>14270</v>
      </c>
    </row>
    <row r="154" spans="1:11" x14ac:dyDescent="0.2">
      <c r="D154" s="1" t="s">
        <v>3922</v>
      </c>
      <c r="F154" s="44">
        <f>E148</f>
        <v>7770.0000000000009</v>
      </c>
      <c r="G154" s="6"/>
      <c r="H154" s="23"/>
    </row>
    <row r="156" spans="1:11" x14ac:dyDescent="0.2">
      <c r="G156" s="1" t="s">
        <v>3937</v>
      </c>
    </row>
    <row r="157" spans="1:11" x14ac:dyDescent="0.2">
      <c r="G157" s="1" t="s">
        <v>3936</v>
      </c>
    </row>
    <row r="160" spans="1:11" x14ac:dyDescent="0.2">
      <c r="G160" s="2"/>
    </row>
    <row r="162" spans="1:8" x14ac:dyDescent="0.2">
      <c r="A162" s="7" t="s">
        <v>398</v>
      </c>
      <c r="B162" s="3"/>
      <c r="C162" s="3"/>
      <c r="D162" s="3"/>
      <c r="E162" s="3"/>
      <c r="F162" s="3"/>
      <c r="G162" s="3"/>
      <c r="H162" s="3"/>
    </row>
    <row r="163" spans="1:8" x14ac:dyDescent="0.2">
      <c r="A163" s="1" t="s">
        <v>387</v>
      </c>
    </row>
    <row r="164" spans="1:8" x14ac:dyDescent="0.2">
      <c r="A164" s="1" t="s">
        <v>375</v>
      </c>
    </row>
    <row r="165" spans="1:8" x14ac:dyDescent="0.2">
      <c r="A165" s="1" t="s">
        <v>388</v>
      </c>
    </row>
    <row r="166" spans="1:8" x14ac:dyDescent="0.2">
      <c r="A166" s="1" t="s">
        <v>389</v>
      </c>
    </row>
    <row r="167" spans="1:8" x14ac:dyDescent="0.2">
      <c r="A167" s="1" t="s">
        <v>390</v>
      </c>
    </row>
    <row r="168" spans="1:8" x14ac:dyDescent="0.2">
      <c r="A168" s="1" t="s">
        <v>391</v>
      </c>
    </row>
    <row r="169" spans="1:8" x14ac:dyDescent="0.2">
      <c r="A169" s="1" t="s">
        <v>392</v>
      </c>
    </row>
    <row r="170" spans="1:8" x14ac:dyDescent="0.2">
      <c r="A170" s="1" t="s">
        <v>393</v>
      </c>
    </row>
    <row r="171" spans="1:8" x14ac:dyDescent="0.2">
      <c r="A171" s="1" t="s">
        <v>394</v>
      </c>
    </row>
    <row r="173" spans="1:8" x14ac:dyDescent="0.2">
      <c r="A173" s="2" t="s">
        <v>384</v>
      </c>
    </row>
    <row r="175" spans="1:8" x14ac:dyDescent="0.2">
      <c r="B175" s="848" t="s">
        <v>369</v>
      </c>
      <c r="C175" s="848"/>
      <c r="D175" s="848" t="s">
        <v>370</v>
      </c>
      <c r="E175" s="848"/>
      <c r="F175" s="848" t="s">
        <v>385</v>
      </c>
      <c r="G175" s="848"/>
    </row>
    <row r="176" spans="1:8" x14ac:dyDescent="0.2">
      <c r="A176" s="25" t="s">
        <v>386</v>
      </c>
      <c r="B176" s="36" t="s">
        <v>155</v>
      </c>
      <c r="C176" s="36" t="s">
        <v>156</v>
      </c>
      <c r="D176" s="36" t="s">
        <v>155</v>
      </c>
      <c r="E176" s="36" t="s">
        <v>156</v>
      </c>
      <c r="F176" s="36" t="s">
        <v>155</v>
      </c>
      <c r="G176" s="36" t="s">
        <v>156</v>
      </c>
    </row>
    <row r="177" spans="1:10" x14ac:dyDescent="0.2">
      <c r="A177" s="1" t="s">
        <v>1797</v>
      </c>
      <c r="B177" s="41">
        <v>1000000</v>
      </c>
      <c r="C177" s="6"/>
      <c r="D177" s="6"/>
      <c r="E177" s="6"/>
      <c r="F177" s="6"/>
      <c r="G177" s="6"/>
    </row>
    <row r="178" spans="1:10" ht="17" thickBot="1" x14ac:dyDescent="0.25">
      <c r="A178" s="1" t="s">
        <v>1798</v>
      </c>
      <c r="B178" s="6"/>
      <c r="C178" s="41">
        <v>900000</v>
      </c>
      <c r="D178" s="6"/>
      <c r="E178" s="6"/>
      <c r="F178" s="6"/>
      <c r="G178" s="6"/>
    </row>
    <row r="179" spans="1:10" ht="17" thickBot="1" x14ac:dyDescent="0.25">
      <c r="A179" s="110" t="s">
        <v>429</v>
      </c>
      <c r="B179" s="6"/>
      <c r="C179" s="6"/>
      <c r="D179" s="6"/>
      <c r="E179" s="303">
        <f>E180</f>
        <v>8000</v>
      </c>
      <c r="F179" s="304">
        <f>E179</f>
        <v>8000</v>
      </c>
      <c r="G179" s="6"/>
    </row>
    <row r="180" spans="1:10" ht="17" thickBot="1" x14ac:dyDescent="0.25">
      <c r="A180" s="93" t="s">
        <v>399</v>
      </c>
      <c r="B180" s="112">
        <f>B177-C178</f>
        <v>100000</v>
      </c>
      <c r="C180" s="113"/>
      <c r="D180" s="305"/>
      <c r="E180" s="112">
        <f>B180*8%</f>
        <v>8000</v>
      </c>
      <c r="F180" s="112">
        <f>F179</f>
        <v>8000</v>
      </c>
      <c r="G180" s="306"/>
    </row>
    <row r="181" spans="1:10" x14ac:dyDescent="0.2">
      <c r="A181" s="1" t="s">
        <v>1799</v>
      </c>
      <c r="B181" s="41">
        <v>560000</v>
      </c>
    </row>
    <row r="182" spans="1:10" ht="17" thickBot="1" x14ac:dyDescent="0.25">
      <c r="A182" s="1" t="s">
        <v>1800</v>
      </c>
      <c r="C182" s="41">
        <v>180000</v>
      </c>
    </row>
    <row r="183" spans="1:10" ht="17" thickBot="1" x14ac:dyDescent="0.25">
      <c r="A183" s="1" t="s">
        <v>1801</v>
      </c>
      <c r="C183" s="114">
        <v>2000</v>
      </c>
      <c r="D183" s="115">
        <f>C183</f>
        <v>2000</v>
      </c>
    </row>
    <row r="184" spans="1:10" ht="17" thickBot="1" x14ac:dyDescent="0.25">
      <c r="A184" s="110" t="s">
        <v>429</v>
      </c>
      <c r="E184" s="116">
        <f>71700-(8000-2000)</f>
        <v>65700</v>
      </c>
      <c r="F184" s="117">
        <f>E184</f>
        <v>65700</v>
      </c>
    </row>
    <row r="185" spans="1:10" ht="17" thickBot="1" x14ac:dyDescent="0.25">
      <c r="A185" s="93" t="s">
        <v>415</v>
      </c>
      <c r="B185" s="112">
        <f>B180+B181-C182-C183</f>
        <v>478000</v>
      </c>
      <c r="C185" s="307"/>
      <c r="D185" s="94"/>
      <c r="E185" s="112">
        <f>B185*15%</f>
        <v>71700</v>
      </c>
      <c r="F185" s="112">
        <f>F184</f>
        <v>65700</v>
      </c>
      <c r="G185" s="95"/>
    </row>
    <row r="187" spans="1:10" x14ac:dyDescent="0.2">
      <c r="A187" s="1" t="s">
        <v>395</v>
      </c>
      <c r="E187" s="2" t="s">
        <v>1786</v>
      </c>
    </row>
    <row r="188" spans="1:10" x14ac:dyDescent="0.2">
      <c r="B188" s="86">
        <v>44196</v>
      </c>
      <c r="C188" s="86">
        <v>44561</v>
      </c>
      <c r="E188" s="13" t="s">
        <v>1787</v>
      </c>
      <c r="F188" s="13"/>
      <c r="G188" s="13"/>
      <c r="H188" s="13"/>
      <c r="I188" s="13"/>
      <c r="J188" s="13"/>
    </row>
    <row r="189" spans="1:10" x14ac:dyDescent="0.2">
      <c r="A189" s="1" t="s">
        <v>396</v>
      </c>
      <c r="B189" s="24">
        <f>B180</f>
        <v>100000</v>
      </c>
      <c r="C189" s="24">
        <f>B185</f>
        <v>478000</v>
      </c>
      <c r="E189" s="13" t="s">
        <v>1788</v>
      </c>
      <c r="F189" s="13"/>
      <c r="G189" s="13"/>
      <c r="H189" s="13"/>
      <c r="I189" s="13"/>
      <c r="J189" s="13"/>
    </row>
    <row r="190" spans="1:10" x14ac:dyDescent="0.2">
      <c r="A190" s="1" t="s">
        <v>370</v>
      </c>
      <c r="B190" s="23">
        <f>-E180</f>
        <v>-8000</v>
      </c>
      <c r="C190" s="23">
        <f>-E185</f>
        <v>-71700</v>
      </c>
      <c r="E190" s="13" t="s">
        <v>1789</v>
      </c>
      <c r="F190" s="13"/>
      <c r="G190" s="13"/>
      <c r="H190" s="13"/>
      <c r="I190" s="13"/>
      <c r="J190" s="13"/>
    </row>
    <row r="191" spans="1:10" x14ac:dyDescent="0.2">
      <c r="A191" s="1" t="s">
        <v>395</v>
      </c>
      <c r="B191" s="89">
        <f>B189+B190</f>
        <v>92000</v>
      </c>
      <c r="C191" s="89">
        <f>C189+C190</f>
        <v>406300</v>
      </c>
      <c r="E191" s="13" t="s">
        <v>1790</v>
      </c>
      <c r="F191" s="13"/>
      <c r="G191" s="13"/>
      <c r="H191" s="13"/>
      <c r="I191" s="13"/>
      <c r="J191" s="13"/>
    </row>
    <row r="192" spans="1:10" x14ac:dyDescent="0.2">
      <c r="E192" s="13" t="s">
        <v>1791</v>
      </c>
      <c r="F192" s="13"/>
      <c r="G192" s="13"/>
      <c r="H192" s="13"/>
      <c r="I192" s="13"/>
      <c r="J192" s="13"/>
    </row>
    <row r="193" spans="1:10" x14ac:dyDescent="0.2">
      <c r="A193" s="1" t="s">
        <v>429</v>
      </c>
      <c r="B193" s="24">
        <f>E179</f>
        <v>8000</v>
      </c>
      <c r="C193" s="24">
        <f>E184</f>
        <v>65700</v>
      </c>
      <c r="E193" s="248">
        <f>E184</f>
        <v>65700</v>
      </c>
      <c r="F193" s="13"/>
      <c r="G193" s="13" t="s">
        <v>1792</v>
      </c>
      <c r="H193" s="13"/>
      <c r="I193" s="13"/>
      <c r="J193" s="13"/>
    </row>
  </sheetData>
  <mergeCells count="16">
    <mergeCell ref="B175:C175"/>
    <mergeCell ref="D175:E175"/>
    <mergeCell ref="F175:G175"/>
    <mergeCell ref="C77:D77"/>
    <mergeCell ref="C82:D82"/>
    <mergeCell ref="G108:G109"/>
    <mergeCell ref="B117:C117"/>
    <mergeCell ref="D117:E117"/>
    <mergeCell ref="F117:G117"/>
    <mergeCell ref="F72:G72"/>
    <mergeCell ref="B138:C138"/>
    <mergeCell ref="D138:E138"/>
    <mergeCell ref="F138:G138"/>
    <mergeCell ref="A1:H1"/>
    <mergeCell ref="B72:C72"/>
    <mergeCell ref="D72:E72"/>
  </mergeCells>
  <phoneticPr fontId="39"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7257F-8A6E-6540-9BA2-AD0BA102F80E}">
  <dimension ref="A1:M68"/>
  <sheetViews>
    <sheetView rightToLeft="1" zoomScale="173" workbookViewId="0">
      <selection activeCell="H7" sqref="H7"/>
    </sheetView>
  </sheetViews>
  <sheetFormatPr baseColWidth="10" defaultRowHeight="16" x14ac:dyDescent="0.2"/>
  <cols>
    <col min="1" max="16384" width="10.83203125" style="1"/>
  </cols>
  <sheetData>
    <row r="1" spans="1:13" x14ac:dyDescent="0.2">
      <c r="A1" s="2" t="s">
        <v>1857</v>
      </c>
      <c r="G1" s="2"/>
      <c r="H1" s="907" t="s">
        <v>369</v>
      </c>
      <c r="I1" s="907"/>
      <c r="J1" s="907" t="s">
        <v>370</v>
      </c>
      <c r="K1" s="907"/>
      <c r="L1" s="907" t="s">
        <v>385</v>
      </c>
      <c r="M1" s="907"/>
    </row>
    <row r="2" spans="1:13" x14ac:dyDescent="0.2">
      <c r="G2" s="81" t="s">
        <v>386</v>
      </c>
      <c r="H2" s="9" t="s">
        <v>155</v>
      </c>
      <c r="I2" s="9" t="s">
        <v>156</v>
      </c>
      <c r="J2" s="9" t="s">
        <v>155</v>
      </c>
      <c r="K2" s="9" t="s">
        <v>156</v>
      </c>
      <c r="L2" s="9" t="s">
        <v>155</v>
      </c>
      <c r="M2" s="9" t="s">
        <v>156</v>
      </c>
    </row>
    <row r="3" spans="1:13" x14ac:dyDescent="0.2">
      <c r="F3" s="6">
        <v>3</v>
      </c>
      <c r="G3" s="1" t="s">
        <v>1859</v>
      </c>
      <c r="K3" s="41">
        <v>120000</v>
      </c>
    </row>
    <row r="4" spans="1:13" x14ac:dyDescent="0.2">
      <c r="F4" s="6">
        <v>1</v>
      </c>
      <c r="G4" s="1" t="s">
        <v>1858</v>
      </c>
      <c r="H4" s="41">
        <v>3500000</v>
      </c>
      <c r="I4" s="41"/>
    </row>
    <row r="5" spans="1:13" ht="17" thickBot="1" x14ac:dyDescent="0.25">
      <c r="F5" s="6">
        <v>2</v>
      </c>
      <c r="G5" s="1" t="s">
        <v>428</v>
      </c>
      <c r="I5" s="41">
        <v>100000</v>
      </c>
      <c r="J5" s="41">
        <f>I5</f>
        <v>100000</v>
      </c>
    </row>
    <row r="6" spans="1:13" ht="17" thickBot="1" x14ac:dyDescent="0.25">
      <c r="F6" s="6" t="s">
        <v>1869</v>
      </c>
      <c r="G6" s="1" t="s">
        <v>429</v>
      </c>
      <c r="K6" s="90">
        <v>85000</v>
      </c>
      <c r="L6" s="91">
        <f>K6</f>
        <v>85000</v>
      </c>
    </row>
    <row r="7" spans="1:13" ht="17" thickBot="1" x14ac:dyDescent="0.25">
      <c r="F7" s="6" t="s">
        <v>1860</v>
      </c>
      <c r="G7" s="312">
        <v>41274</v>
      </c>
      <c r="H7" s="88">
        <f>I17</f>
        <v>2100000</v>
      </c>
      <c r="I7" s="904">
        <v>0.05</v>
      </c>
      <c r="J7" s="905"/>
      <c r="K7" s="313">
        <f>H7*I7</f>
        <v>105000</v>
      </c>
    </row>
    <row r="8" spans="1:13" x14ac:dyDescent="0.2">
      <c r="G8" s="87"/>
      <c r="H8" s="41"/>
    </row>
    <row r="9" spans="1:13" x14ac:dyDescent="0.2">
      <c r="F9" s="6" t="s">
        <v>77</v>
      </c>
      <c r="G9" s="1" t="s">
        <v>1861</v>
      </c>
    </row>
    <row r="10" spans="1:13" x14ac:dyDescent="0.2">
      <c r="G10" s="1" t="s">
        <v>1862</v>
      </c>
    </row>
    <row r="11" spans="1:13" x14ac:dyDescent="0.2">
      <c r="G11" s="1" t="s">
        <v>1863</v>
      </c>
    </row>
    <row r="12" spans="1:13" x14ac:dyDescent="0.2">
      <c r="G12" s="1" t="s">
        <v>1864</v>
      </c>
    </row>
    <row r="14" spans="1:13" x14ac:dyDescent="0.2">
      <c r="G14" s="1" t="s">
        <v>1865</v>
      </c>
      <c r="I14" s="24">
        <v>2000000</v>
      </c>
    </row>
    <row r="15" spans="1:13" x14ac:dyDescent="0.2">
      <c r="G15" s="1" t="s">
        <v>1866</v>
      </c>
      <c r="I15" s="23">
        <f>-100000</f>
        <v>-100000</v>
      </c>
    </row>
    <row r="16" spans="1:13" x14ac:dyDescent="0.2">
      <c r="G16" s="1" t="s">
        <v>1867</v>
      </c>
      <c r="I16" s="24">
        <v>200000</v>
      </c>
    </row>
    <row r="17" spans="6:12" x14ac:dyDescent="0.2">
      <c r="G17" s="1" t="s">
        <v>1868</v>
      </c>
      <c r="I17" s="302">
        <f>SUM(I14:I16)</f>
        <v>2100000</v>
      </c>
      <c r="L17" s="1" t="s">
        <v>1893</v>
      </c>
    </row>
    <row r="19" spans="6:12" x14ac:dyDescent="0.2">
      <c r="G19" s="1" t="s">
        <v>1870</v>
      </c>
    </row>
    <row r="20" spans="6:12" x14ac:dyDescent="0.2">
      <c r="G20" s="1" t="s">
        <v>1871</v>
      </c>
    </row>
    <row r="21" spans="6:12" x14ac:dyDescent="0.2">
      <c r="G21" s="1" t="s">
        <v>1872</v>
      </c>
    </row>
    <row r="22" spans="6:12" x14ac:dyDescent="0.2">
      <c r="G22" s="1" t="s">
        <v>1873</v>
      </c>
    </row>
    <row r="23" spans="6:12" x14ac:dyDescent="0.2">
      <c r="G23" s="1" t="s">
        <v>1874</v>
      </c>
    </row>
    <row r="24" spans="6:12" x14ac:dyDescent="0.2">
      <c r="G24" s="1" t="s">
        <v>1875</v>
      </c>
    </row>
    <row r="25" spans="6:12" x14ac:dyDescent="0.2">
      <c r="G25" s="1" t="s">
        <v>1890</v>
      </c>
    </row>
    <row r="26" spans="6:12" x14ac:dyDescent="0.2">
      <c r="G26" s="1" t="s">
        <v>1891</v>
      </c>
    </row>
    <row r="27" spans="6:12" x14ac:dyDescent="0.2">
      <c r="G27" s="1" t="s">
        <v>1892</v>
      </c>
    </row>
    <row r="29" spans="6:12" x14ac:dyDescent="0.2">
      <c r="F29" s="6" t="s">
        <v>1878</v>
      </c>
      <c r="G29" s="1" t="s">
        <v>1876</v>
      </c>
    </row>
    <row r="30" spans="6:12" x14ac:dyDescent="0.2">
      <c r="G30" s="1" t="s">
        <v>1877</v>
      </c>
    </row>
    <row r="32" spans="6:12" x14ac:dyDescent="0.2">
      <c r="F32" s="6" t="s">
        <v>1879</v>
      </c>
      <c r="G32" s="1" t="s">
        <v>1880</v>
      </c>
    </row>
    <row r="34" spans="1:13" x14ac:dyDescent="0.2">
      <c r="F34" s="6" t="s">
        <v>1881</v>
      </c>
      <c r="G34" s="1" t="s">
        <v>1882</v>
      </c>
    </row>
    <row r="36" spans="1:13" x14ac:dyDescent="0.2">
      <c r="F36" s="6" t="s">
        <v>1883</v>
      </c>
      <c r="G36" s="1" t="s">
        <v>1884</v>
      </c>
    </row>
    <row r="37" spans="1:13" x14ac:dyDescent="0.2">
      <c r="G37" s="1" t="s">
        <v>1886</v>
      </c>
    </row>
    <row r="39" spans="1:13" x14ac:dyDescent="0.2">
      <c r="G39" s="1" t="s">
        <v>1885</v>
      </c>
      <c r="I39" s="24">
        <v>2100000</v>
      </c>
    </row>
    <row r="40" spans="1:13" x14ac:dyDescent="0.2">
      <c r="G40" s="1" t="s">
        <v>1887</v>
      </c>
      <c r="I40" s="23">
        <v>-105000</v>
      </c>
    </row>
    <row r="41" spans="1:13" x14ac:dyDescent="0.2">
      <c r="G41" s="1" t="s">
        <v>1888</v>
      </c>
      <c r="I41" s="89">
        <f>I39+I40</f>
        <v>1995000</v>
      </c>
      <c r="J41" s="1" t="s">
        <v>1889</v>
      </c>
    </row>
    <row r="42" spans="1:13" x14ac:dyDescent="0.2">
      <c r="A42" s="2" t="s">
        <v>1894</v>
      </c>
    </row>
    <row r="44" spans="1:13" x14ac:dyDescent="0.2">
      <c r="G44" s="2"/>
      <c r="H44" s="907" t="s">
        <v>369</v>
      </c>
      <c r="I44" s="907"/>
      <c r="J44" s="907" t="s">
        <v>370</v>
      </c>
      <c r="K44" s="907"/>
      <c r="L44" s="907" t="s">
        <v>385</v>
      </c>
      <c r="M44" s="907"/>
    </row>
    <row r="45" spans="1:13" x14ac:dyDescent="0.2">
      <c r="G45" s="81" t="s">
        <v>386</v>
      </c>
      <c r="H45" s="9" t="s">
        <v>155</v>
      </c>
      <c r="I45" s="9" t="s">
        <v>156</v>
      </c>
      <c r="J45" s="9" t="s">
        <v>155</v>
      </c>
      <c r="K45" s="9" t="s">
        <v>156</v>
      </c>
      <c r="L45" s="9" t="s">
        <v>155</v>
      </c>
      <c r="M45" s="9" t="s">
        <v>156</v>
      </c>
    </row>
    <row r="46" spans="1:13" x14ac:dyDescent="0.2">
      <c r="F46" s="6">
        <v>4</v>
      </c>
      <c r="G46" s="1" t="s">
        <v>1859</v>
      </c>
      <c r="K46" s="41">
        <v>80000</v>
      </c>
    </row>
    <row r="47" spans="1:13" x14ac:dyDescent="0.2">
      <c r="F47" s="6">
        <v>1</v>
      </c>
      <c r="G47" s="1" t="s">
        <v>68</v>
      </c>
      <c r="H47" s="41">
        <v>5000000</v>
      </c>
      <c r="K47" s="41"/>
    </row>
    <row r="48" spans="1:13" x14ac:dyDescent="0.2">
      <c r="F48" s="6">
        <v>2</v>
      </c>
      <c r="G48" s="1" t="s">
        <v>428</v>
      </c>
      <c r="H48" s="41"/>
      <c r="I48" s="314">
        <v>50000</v>
      </c>
      <c r="J48" s="314">
        <f>I48</f>
        <v>50000</v>
      </c>
    </row>
    <row r="49" spans="6:12" ht="17" thickBot="1" x14ac:dyDescent="0.25">
      <c r="F49" s="6">
        <v>3</v>
      </c>
      <c r="G49" s="1" t="s">
        <v>627</v>
      </c>
      <c r="H49" s="41">
        <v>20000</v>
      </c>
      <c r="I49" s="45" t="s">
        <v>1902</v>
      </c>
      <c r="J49" s="41"/>
    </row>
    <row r="50" spans="6:12" ht="17" thickBot="1" x14ac:dyDescent="0.25">
      <c r="F50" s="6" t="s">
        <v>1869</v>
      </c>
      <c r="G50" s="1" t="s">
        <v>429</v>
      </c>
      <c r="K50" s="90">
        <f>K51-K46+J48</f>
        <v>117000</v>
      </c>
      <c r="L50" s="91">
        <f>K50</f>
        <v>117000</v>
      </c>
    </row>
    <row r="51" spans="6:12" ht="17" thickBot="1" x14ac:dyDescent="0.25">
      <c r="F51" s="6"/>
      <c r="G51" s="312"/>
      <c r="H51" s="88">
        <f>J60</f>
        <v>1470000</v>
      </c>
      <c r="I51" s="308">
        <v>0.1</v>
      </c>
      <c r="J51" s="309"/>
      <c r="K51" s="313">
        <f>H51*10%</f>
        <v>147000</v>
      </c>
    </row>
    <row r="54" spans="6:12" x14ac:dyDescent="0.2">
      <c r="G54" s="1" t="s">
        <v>1895</v>
      </c>
    </row>
    <row r="55" spans="6:12" x14ac:dyDescent="0.2">
      <c r="G55" s="1" t="s">
        <v>1896</v>
      </c>
    </row>
    <row r="57" spans="6:12" x14ac:dyDescent="0.2">
      <c r="G57" s="1" t="s">
        <v>1897</v>
      </c>
      <c r="J57" s="24">
        <v>1500000</v>
      </c>
    </row>
    <row r="58" spans="6:12" x14ac:dyDescent="0.2">
      <c r="G58" s="1" t="s">
        <v>1898</v>
      </c>
      <c r="J58" s="23">
        <v>-50000</v>
      </c>
    </row>
    <row r="59" spans="6:12" x14ac:dyDescent="0.2">
      <c r="G59" s="1" t="s">
        <v>1899</v>
      </c>
      <c r="J59" s="24">
        <v>20000</v>
      </c>
    </row>
    <row r="60" spans="6:12" x14ac:dyDescent="0.2">
      <c r="G60" s="1" t="s">
        <v>1900</v>
      </c>
      <c r="J60" s="302">
        <f>SUM(J57:J59)</f>
        <v>1470000</v>
      </c>
    </row>
    <row r="62" spans="6:12" x14ac:dyDescent="0.2">
      <c r="G62" s="1" t="s">
        <v>1878</v>
      </c>
      <c r="H62" s="24">
        <f>H51</f>
        <v>1470000</v>
      </c>
    </row>
    <row r="63" spans="6:12" x14ac:dyDescent="0.2">
      <c r="G63" s="1" t="s">
        <v>1879</v>
      </c>
      <c r="H63" s="24">
        <f>K50</f>
        <v>117000</v>
      </c>
    </row>
    <row r="64" spans="6:12" x14ac:dyDescent="0.2">
      <c r="G64" s="1" t="s">
        <v>1881</v>
      </c>
      <c r="H64" s="24">
        <f>K51</f>
        <v>147000</v>
      </c>
    </row>
    <row r="65" spans="7:10" x14ac:dyDescent="0.2">
      <c r="G65" s="1" t="s">
        <v>1883</v>
      </c>
    </row>
    <row r="66" spans="7:10" x14ac:dyDescent="0.2">
      <c r="H66" s="1" t="s">
        <v>369</v>
      </c>
      <c r="J66" s="24">
        <f>H51</f>
        <v>1470000</v>
      </c>
    </row>
    <row r="67" spans="7:10" x14ac:dyDescent="0.2">
      <c r="H67" s="1" t="s">
        <v>1855</v>
      </c>
      <c r="J67" s="23">
        <f>-K51</f>
        <v>-147000</v>
      </c>
    </row>
    <row r="68" spans="7:10" x14ac:dyDescent="0.2">
      <c r="H68" s="1" t="s">
        <v>1901</v>
      </c>
      <c r="J68" s="315">
        <f>SUM(J66:J67)</f>
        <v>1323000</v>
      </c>
    </row>
  </sheetData>
  <mergeCells count="7">
    <mergeCell ref="H44:I44"/>
    <mergeCell ref="J44:K44"/>
    <mergeCell ref="L44:M44"/>
    <mergeCell ref="H1:I1"/>
    <mergeCell ref="J1:K1"/>
    <mergeCell ref="L1:M1"/>
    <mergeCell ref="I7:J7"/>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5641F-8B41-1243-BBAD-87E28875C550}">
  <dimension ref="A1:I239"/>
  <sheetViews>
    <sheetView rightToLeft="1" zoomScale="241" workbookViewId="0">
      <selection activeCell="A2" sqref="A2"/>
    </sheetView>
  </sheetViews>
  <sheetFormatPr baseColWidth="10" defaultRowHeight="16" x14ac:dyDescent="0.2"/>
  <cols>
    <col min="1" max="16384" width="10.83203125" style="1"/>
  </cols>
  <sheetData>
    <row r="1" spans="1:9" x14ac:dyDescent="0.2">
      <c r="A1" s="829" t="s">
        <v>1853</v>
      </c>
      <c r="B1" s="829"/>
      <c r="C1" s="829"/>
      <c r="D1" s="829"/>
      <c r="E1" s="829"/>
      <c r="F1" s="829"/>
      <c r="G1" s="829"/>
      <c r="H1" s="829"/>
      <c r="I1" s="3"/>
    </row>
    <row r="3" spans="1:9" x14ac:dyDescent="0.2">
      <c r="A3" s="2" t="s">
        <v>434</v>
      </c>
    </row>
    <row r="4" spans="1:9" x14ac:dyDescent="0.2">
      <c r="A4" s="1" t="s">
        <v>435</v>
      </c>
    </row>
    <row r="6" spans="1:9" x14ac:dyDescent="0.2">
      <c r="A6" s="97" t="s">
        <v>436</v>
      </c>
      <c r="B6" s="96"/>
      <c r="C6" s="96"/>
      <c r="D6" s="96"/>
      <c r="E6" s="96"/>
      <c r="F6" s="96"/>
      <c r="G6" s="96"/>
      <c r="H6" s="96"/>
      <c r="I6" s="96"/>
    </row>
    <row r="7" spans="1:9" x14ac:dyDescent="0.2">
      <c r="A7" s="1" t="s">
        <v>437</v>
      </c>
    </row>
    <row r="8" spans="1:9" x14ac:dyDescent="0.2">
      <c r="A8" s="1" t="s">
        <v>438</v>
      </c>
    </row>
    <row r="9" spans="1:9" x14ac:dyDescent="0.2">
      <c r="A9" s="1" t="s">
        <v>447</v>
      </c>
    </row>
    <row r="10" spans="1:9" x14ac:dyDescent="0.2">
      <c r="A10" s="1" t="s">
        <v>440</v>
      </c>
    </row>
    <row r="11" spans="1:9" x14ac:dyDescent="0.2">
      <c r="A11" s="1" t="s">
        <v>439</v>
      </c>
    </row>
    <row r="12" spans="1:9" x14ac:dyDescent="0.2">
      <c r="A12" s="1" t="s">
        <v>441</v>
      </c>
    </row>
    <row r="13" spans="1:9" x14ac:dyDescent="0.2">
      <c r="A13" s="1" t="s">
        <v>442</v>
      </c>
    </row>
    <row r="15" spans="1:9" x14ac:dyDescent="0.2">
      <c r="A15" s="25" t="s">
        <v>319</v>
      </c>
      <c r="B15" s="25" t="s">
        <v>443</v>
      </c>
      <c r="C15" s="25"/>
      <c r="D15" s="25" t="s">
        <v>444</v>
      </c>
      <c r="E15" s="25"/>
      <c r="F15" s="25" t="s">
        <v>445</v>
      </c>
      <c r="G15" s="25"/>
      <c r="H15" s="25" t="s">
        <v>446</v>
      </c>
      <c r="I15" s="25"/>
    </row>
    <row r="16" spans="1:9" x14ac:dyDescent="0.2">
      <c r="A16" s="1">
        <v>2014</v>
      </c>
      <c r="B16" s="1" t="s">
        <v>448</v>
      </c>
      <c r="D16" s="908" t="s">
        <v>450</v>
      </c>
      <c r="E16" s="908"/>
      <c r="F16" s="1" t="s">
        <v>454</v>
      </c>
      <c r="H16" s="1" t="s">
        <v>451</v>
      </c>
      <c r="I16" s="24">
        <v>400000</v>
      </c>
    </row>
    <row r="17" spans="1:9" x14ac:dyDescent="0.2">
      <c r="B17" s="1" t="s">
        <v>449</v>
      </c>
      <c r="F17" s="1" t="s">
        <v>453</v>
      </c>
      <c r="H17" s="2" t="s">
        <v>452</v>
      </c>
    </row>
    <row r="19" spans="1:9" x14ac:dyDescent="0.2">
      <c r="A19" s="1">
        <v>2015</v>
      </c>
      <c r="B19" s="1" t="s">
        <v>455</v>
      </c>
      <c r="D19" s="855" t="s">
        <v>450</v>
      </c>
      <c r="E19" s="855"/>
      <c r="F19" s="1" t="s">
        <v>456</v>
      </c>
      <c r="H19" s="1" t="s">
        <v>451</v>
      </c>
      <c r="I19" s="24">
        <v>200000</v>
      </c>
    </row>
    <row r="20" spans="1:9" x14ac:dyDescent="0.2">
      <c r="F20" s="1" t="s">
        <v>457</v>
      </c>
      <c r="H20" s="2" t="s">
        <v>452</v>
      </c>
    </row>
    <row r="21" spans="1:9" x14ac:dyDescent="0.2">
      <c r="H21" s="2"/>
    </row>
    <row r="22" spans="1:9" x14ac:dyDescent="0.2">
      <c r="A22" s="1">
        <v>2016</v>
      </c>
      <c r="B22" s="1" t="s">
        <v>455</v>
      </c>
      <c r="D22" s="855" t="s">
        <v>450</v>
      </c>
      <c r="E22" s="855"/>
      <c r="F22" s="1" t="s">
        <v>456</v>
      </c>
      <c r="H22" s="1" t="s">
        <v>337</v>
      </c>
      <c r="I22" s="1">
        <v>0</v>
      </c>
    </row>
    <row r="23" spans="1:9" x14ac:dyDescent="0.2">
      <c r="F23" s="1" t="s">
        <v>457</v>
      </c>
    </row>
    <row r="24" spans="1:9" x14ac:dyDescent="0.2">
      <c r="A24" s="97" t="s">
        <v>458</v>
      </c>
      <c r="B24" s="96"/>
      <c r="C24" s="96"/>
      <c r="D24" s="96"/>
      <c r="E24" s="96"/>
      <c r="F24" s="96"/>
      <c r="G24" s="96"/>
      <c r="H24" s="96"/>
      <c r="I24" s="96"/>
    </row>
    <row r="25" spans="1:9" x14ac:dyDescent="0.2">
      <c r="A25" s="1" t="s">
        <v>459</v>
      </c>
    </row>
    <row r="26" spans="1:9" x14ac:dyDescent="0.2">
      <c r="B26" s="1" t="s">
        <v>460</v>
      </c>
      <c r="C26" s="1" t="s">
        <v>461</v>
      </c>
    </row>
    <row r="27" spans="1:9" x14ac:dyDescent="0.2">
      <c r="C27" s="1" t="s">
        <v>462</v>
      </c>
    </row>
    <row r="28" spans="1:9" x14ac:dyDescent="0.2">
      <c r="C28" s="1" t="s">
        <v>463</v>
      </c>
    </row>
    <row r="29" spans="1:9" x14ac:dyDescent="0.2">
      <c r="C29" s="1" t="s">
        <v>464</v>
      </c>
      <c r="E29" s="1" t="s">
        <v>460</v>
      </c>
    </row>
    <row r="31" spans="1:9" x14ac:dyDescent="0.2">
      <c r="A31" s="1" t="s">
        <v>465</v>
      </c>
    </row>
    <row r="32" spans="1:9" x14ac:dyDescent="0.2">
      <c r="B32" s="1" t="s">
        <v>460</v>
      </c>
      <c r="C32" s="1" t="s">
        <v>466</v>
      </c>
    </row>
    <row r="33" spans="1:9" x14ac:dyDescent="0.2">
      <c r="C33" s="1" t="s">
        <v>467</v>
      </c>
    </row>
    <row r="35" spans="1:9" x14ac:dyDescent="0.2">
      <c r="A35" s="1" t="s">
        <v>195</v>
      </c>
    </row>
    <row r="36" spans="1:9" x14ac:dyDescent="0.2">
      <c r="A36" s="1" t="s">
        <v>468</v>
      </c>
    </row>
    <row r="37" spans="1:9" x14ac:dyDescent="0.2">
      <c r="A37" s="1" t="s">
        <v>469</v>
      </c>
    </row>
    <row r="38" spans="1:9" x14ac:dyDescent="0.2">
      <c r="A38" s="1" t="s">
        <v>470</v>
      </c>
    </row>
    <row r="39" spans="1:9" x14ac:dyDescent="0.2">
      <c r="A39" s="1" t="s">
        <v>471</v>
      </c>
    </row>
    <row r="41" spans="1:9" x14ac:dyDescent="0.2">
      <c r="A41" s="97" t="s">
        <v>472</v>
      </c>
      <c r="B41" s="96"/>
      <c r="C41" s="96"/>
      <c r="D41" s="96"/>
      <c r="E41" s="96"/>
      <c r="F41" s="96"/>
      <c r="G41" s="96"/>
      <c r="H41" s="96"/>
      <c r="I41" s="96"/>
    </row>
    <row r="42" spans="1:9" x14ac:dyDescent="0.2">
      <c r="A42" s="1" t="s">
        <v>473</v>
      </c>
    </row>
    <row r="43" spans="1:9" x14ac:dyDescent="0.2">
      <c r="A43" s="1" t="s">
        <v>474</v>
      </c>
    </row>
    <row r="44" spans="1:9" x14ac:dyDescent="0.2">
      <c r="A44" s="1" t="s">
        <v>475</v>
      </c>
    </row>
    <row r="46" spans="1:9" x14ac:dyDescent="0.2">
      <c r="A46" s="2" t="s">
        <v>476</v>
      </c>
    </row>
    <row r="47" spans="1:9" x14ac:dyDescent="0.2">
      <c r="A47" s="1" t="s">
        <v>477</v>
      </c>
    </row>
    <row r="49" spans="1:7" x14ac:dyDescent="0.2">
      <c r="A49" s="1" t="s">
        <v>478</v>
      </c>
    </row>
    <row r="50" spans="1:7" x14ac:dyDescent="0.2">
      <c r="A50" s="1" t="s">
        <v>479</v>
      </c>
    </row>
    <row r="52" spans="1:7" x14ac:dyDescent="0.2">
      <c r="C52" s="1" t="s">
        <v>480</v>
      </c>
    </row>
    <row r="53" spans="1:7" x14ac:dyDescent="0.2">
      <c r="C53" s="1" t="s">
        <v>481</v>
      </c>
    </row>
    <row r="55" spans="1:7" x14ac:dyDescent="0.2">
      <c r="A55" s="1" t="s">
        <v>482</v>
      </c>
    </row>
    <row r="56" spans="1:7" x14ac:dyDescent="0.2">
      <c r="A56" s="1" t="s">
        <v>483</v>
      </c>
    </row>
    <row r="57" spans="1:7" x14ac:dyDescent="0.2">
      <c r="B57" s="1" t="s">
        <v>484</v>
      </c>
      <c r="F57" s="24">
        <v>44000</v>
      </c>
    </row>
    <row r="58" spans="1:7" x14ac:dyDescent="0.2">
      <c r="B58" s="1" t="s">
        <v>485</v>
      </c>
      <c r="F58" s="1">
        <v>11</v>
      </c>
    </row>
    <row r="59" spans="1:7" x14ac:dyDescent="0.2">
      <c r="B59" s="1" t="s">
        <v>486</v>
      </c>
      <c r="F59" s="24">
        <f>F57/F58</f>
        <v>4000</v>
      </c>
      <c r="G59" s="1" t="s">
        <v>487</v>
      </c>
    </row>
    <row r="61" spans="1:7" x14ac:dyDescent="0.2">
      <c r="B61" s="1" t="s">
        <v>488</v>
      </c>
    </row>
    <row r="62" spans="1:7" x14ac:dyDescent="0.2">
      <c r="B62" s="1" t="s">
        <v>489</v>
      </c>
    </row>
    <row r="64" spans="1:7" x14ac:dyDescent="0.2">
      <c r="C64" s="1" t="s">
        <v>490</v>
      </c>
    </row>
    <row r="65" spans="1:9" x14ac:dyDescent="0.2">
      <c r="C65" s="1" t="s">
        <v>491</v>
      </c>
    </row>
    <row r="67" spans="1:9" x14ac:dyDescent="0.2">
      <c r="A67" s="97" t="s">
        <v>492</v>
      </c>
      <c r="B67" s="96"/>
      <c r="C67" s="96"/>
      <c r="D67" s="96"/>
      <c r="E67" s="96"/>
      <c r="F67" s="96"/>
      <c r="G67" s="96"/>
      <c r="H67" s="96"/>
      <c r="I67" s="96"/>
    </row>
    <row r="68" spans="1:9" x14ac:dyDescent="0.2">
      <c r="A68" s="1" t="s">
        <v>493</v>
      </c>
    </row>
    <row r="69" spans="1:9" x14ac:dyDescent="0.2">
      <c r="A69" s="1" t="s">
        <v>494</v>
      </c>
    </row>
    <row r="71" spans="1:9" x14ac:dyDescent="0.2">
      <c r="A71" s="1" t="s">
        <v>195</v>
      </c>
    </row>
    <row r="72" spans="1:9" x14ac:dyDescent="0.2">
      <c r="A72" s="1" t="s">
        <v>495</v>
      </c>
    </row>
    <row r="73" spans="1:9" x14ac:dyDescent="0.2">
      <c r="A73" s="1" t="s">
        <v>496</v>
      </c>
    </row>
    <row r="74" spans="1:9" x14ac:dyDescent="0.2">
      <c r="A74" s="1" t="s">
        <v>497</v>
      </c>
    </row>
    <row r="75" spans="1:9" x14ac:dyDescent="0.2">
      <c r="A75" s="1" t="s">
        <v>498</v>
      </c>
    </row>
    <row r="77" spans="1:9" x14ac:dyDescent="0.2">
      <c r="A77" s="25" t="s">
        <v>319</v>
      </c>
      <c r="B77" s="25" t="s">
        <v>499</v>
      </c>
      <c r="C77" s="25"/>
      <c r="D77" s="25" t="s">
        <v>500</v>
      </c>
      <c r="E77" s="25"/>
      <c r="F77" s="25" t="s">
        <v>501</v>
      </c>
      <c r="G77" s="25"/>
      <c r="H77" s="25" t="s">
        <v>502</v>
      </c>
      <c r="I77" s="25"/>
    </row>
    <row r="78" spans="1:9" x14ac:dyDescent="0.2">
      <c r="A78" s="1">
        <v>2020</v>
      </c>
      <c r="B78" s="1" t="s">
        <v>503</v>
      </c>
      <c r="E78" s="1" t="s">
        <v>518</v>
      </c>
      <c r="F78" s="1" t="s">
        <v>507</v>
      </c>
      <c r="H78" s="1" t="s">
        <v>505</v>
      </c>
      <c r="I78" s="24">
        <f>100000-83333</f>
        <v>16667</v>
      </c>
    </row>
    <row r="79" spans="1:9" x14ac:dyDescent="0.2">
      <c r="B79" s="1" t="s">
        <v>519</v>
      </c>
      <c r="F79" s="1" t="s">
        <v>508</v>
      </c>
      <c r="H79" s="2" t="s">
        <v>506</v>
      </c>
    </row>
    <row r="81" spans="1:9" x14ac:dyDescent="0.2">
      <c r="A81" s="1">
        <v>2021</v>
      </c>
      <c r="B81" s="1" t="s">
        <v>509</v>
      </c>
      <c r="D81" s="1" t="s">
        <v>510</v>
      </c>
      <c r="F81" s="1" t="s">
        <v>522</v>
      </c>
      <c r="H81" s="1" t="s">
        <v>505</v>
      </c>
      <c r="I81" s="24">
        <f>100000+80000-83333-83334</f>
        <v>13333</v>
      </c>
    </row>
    <row r="82" spans="1:9" x14ac:dyDescent="0.2">
      <c r="B82" s="1" t="s">
        <v>520</v>
      </c>
      <c r="D82" s="1" t="s">
        <v>511</v>
      </c>
      <c r="F82" s="1" t="s">
        <v>521</v>
      </c>
      <c r="H82" s="2" t="s">
        <v>506</v>
      </c>
    </row>
    <row r="83" spans="1:9" x14ac:dyDescent="0.2">
      <c r="E83" s="1" t="s">
        <v>512</v>
      </c>
    </row>
    <row r="85" spans="1:9" x14ac:dyDescent="0.2">
      <c r="D85" s="1" t="s">
        <v>513</v>
      </c>
    </row>
    <row r="86" spans="1:9" x14ac:dyDescent="0.2">
      <c r="D86" s="1" t="s">
        <v>514</v>
      </c>
    </row>
    <row r="87" spans="1:9" x14ac:dyDescent="0.2">
      <c r="E87" s="1" t="s">
        <v>515</v>
      </c>
    </row>
    <row r="89" spans="1:9" x14ac:dyDescent="0.2">
      <c r="D89" s="1" t="s">
        <v>516</v>
      </c>
    </row>
    <row r="90" spans="1:9" x14ac:dyDescent="0.2">
      <c r="E90" s="1" t="s">
        <v>517</v>
      </c>
    </row>
    <row r="91" spans="1:9" x14ac:dyDescent="0.2">
      <c r="D91" s="98">
        <f>16667+66667</f>
        <v>83334</v>
      </c>
    </row>
    <row r="93" spans="1:9" x14ac:dyDescent="0.2">
      <c r="A93" s="97" t="s">
        <v>523</v>
      </c>
      <c r="B93" s="96"/>
      <c r="C93" s="96"/>
      <c r="D93" s="96"/>
      <c r="E93" s="96"/>
      <c r="F93" s="96"/>
      <c r="G93" s="96"/>
      <c r="H93" s="96"/>
      <c r="I93" s="96"/>
    </row>
    <row r="94" spans="1:9" x14ac:dyDescent="0.2">
      <c r="A94" s="1" t="s">
        <v>524</v>
      </c>
    </row>
    <row r="95" spans="1:9" x14ac:dyDescent="0.2">
      <c r="A95" s="1" t="s">
        <v>525</v>
      </c>
    </row>
    <row r="96" spans="1:9" x14ac:dyDescent="0.2">
      <c r="A96" s="1" t="s">
        <v>526</v>
      </c>
    </row>
    <row r="97" spans="1:9" x14ac:dyDescent="0.2">
      <c r="A97" s="1" t="s">
        <v>527</v>
      </c>
    </row>
    <row r="98" spans="1:9" x14ac:dyDescent="0.2">
      <c r="A98" s="1" t="s">
        <v>528</v>
      </c>
    </row>
    <row r="99" spans="1:9" x14ac:dyDescent="0.2">
      <c r="A99" s="2" t="s">
        <v>529</v>
      </c>
    </row>
    <row r="101" spans="1:9" ht="17" thickBot="1" x14ac:dyDescent="0.25">
      <c r="A101" s="1" t="s">
        <v>319</v>
      </c>
      <c r="B101" s="1" t="s">
        <v>530</v>
      </c>
      <c r="D101" s="1" t="s">
        <v>531</v>
      </c>
      <c r="F101" s="1" t="s">
        <v>328</v>
      </c>
      <c r="H101" s="1" t="s">
        <v>446</v>
      </c>
    </row>
    <row r="102" spans="1:9" x14ac:dyDescent="0.2">
      <c r="A102" s="18">
        <v>2020</v>
      </c>
      <c r="B102" s="100" t="s">
        <v>532</v>
      </c>
      <c r="C102" s="100"/>
      <c r="D102" s="100"/>
      <c r="E102" s="100" t="s">
        <v>539</v>
      </c>
      <c r="F102" s="100" t="s">
        <v>549</v>
      </c>
      <c r="G102" s="100"/>
      <c r="H102" s="100" t="s">
        <v>547</v>
      </c>
      <c r="I102" s="101">
        <f>D103</f>
        <v>30000</v>
      </c>
    </row>
    <row r="103" spans="1:9" ht="17" thickBot="1" x14ac:dyDescent="0.25">
      <c r="A103" s="20"/>
      <c r="B103" s="102">
        <v>0</v>
      </c>
      <c r="C103" s="103"/>
      <c r="D103" s="104">
        <f>40000/12*9</f>
        <v>30000</v>
      </c>
      <c r="E103" s="103"/>
      <c r="F103" s="103" t="s">
        <v>550</v>
      </c>
      <c r="G103" s="103"/>
      <c r="H103" s="103" t="s">
        <v>452</v>
      </c>
      <c r="I103" s="21"/>
    </row>
    <row r="104" spans="1:9" ht="17" thickBot="1" x14ac:dyDescent="0.25">
      <c r="D104" s="99"/>
      <c r="F104" s="12"/>
      <c r="G104" s="12"/>
    </row>
    <row r="105" spans="1:9" x14ac:dyDescent="0.2">
      <c r="A105" s="18">
        <v>2021</v>
      </c>
      <c r="B105" s="100" t="s">
        <v>533</v>
      </c>
      <c r="C105" s="100"/>
      <c r="D105" s="100" t="s">
        <v>540</v>
      </c>
      <c r="E105" s="100"/>
      <c r="F105" s="105" t="s">
        <v>551</v>
      </c>
      <c r="G105" s="105"/>
      <c r="H105" s="105" t="s">
        <v>548</v>
      </c>
      <c r="I105" s="101">
        <f>C113-D103-E115</f>
        <v>15000</v>
      </c>
    </row>
    <row r="106" spans="1:9" x14ac:dyDescent="0.2">
      <c r="A106" s="106"/>
      <c r="B106" s="1" t="s">
        <v>534</v>
      </c>
      <c r="D106" s="1" t="s">
        <v>541</v>
      </c>
      <c r="F106" s="13" t="s">
        <v>553</v>
      </c>
      <c r="G106" s="13"/>
      <c r="H106" s="1" t="s">
        <v>554</v>
      </c>
      <c r="I106" s="107"/>
    </row>
    <row r="107" spans="1:9" x14ac:dyDescent="0.2">
      <c r="A107" s="106"/>
      <c r="B107" s="1" t="s">
        <v>535</v>
      </c>
      <c r="E107" s="1" t="s">
        <v>542</v>
      </c>
      <c r="F107" s="1" t="s">
        <v>552</v>
      </c>
      <c r="I107" s="107"/>
    </row>
    <row r="108" spans="1:9" x14ac:dyDescent="0.2">
      <c r="A108" s="106"/>
      <c r="C108" s="24">
        <v>40000</v>
      </c>
      <c r="D108" s="24">
        <v>10000</v>
      </c>
      <c r="I108" s="107"/>
    </row>
    <row r="109" spans="1:9" x14ac:dyDescent="0.2">
      <c r="A109" s="106"/>
      <c r="B109" s="1" t="s">
        <v>536</v>
      </c>
      <c r="I109" s="107"/>
    </row>
    <row r="110" spans="1:9" x14ac:dyDescent="0.2">
      <c r="A110" s="106"/>
      <c r="B110" s="1" t="s">
        <v>537</v>
      </c>
      <c r="D110" s="1" t="s">
        <v>543</v>
      </c>
      <c r="I110" s="107"/>
    </row>
    <row r="111" spans="1:9" x14ac:dyDescent="0.2">
      <c r="A111" s="106"/>
      <c r="C111" s="24">
        <v>60000</v>
      </c>
      <c r="D111" s="1" t="s">
        <v>544</v>
      </c>
      <c r="I111" s="107"/>
    </row>
    <row r="112" spans="1:9" x14ac:dyDescent="0.2">
      <c r="A112" s="106"/>
      <c r="E112" s="1" t="s">
        <v>545</v>
      </c>
      <c r="I112" s="107"/>
    </row>
    <row r="113" spans="1:9" x14ac:dyDescent="0.2">
      <c r="A113" s="106"/>
      <c r="B113" s="42" t="s">
        <v>272</v>
      </c>
      <c r="C113" s="108">
        <v>100000</v>
      </c>
      <c r="D113" s="109">
        <f>60000/12*9</f>
        <v>45000</v>
      </c>
      <c r="I113" s="107"/>
    </row>
    <row r="114" spans="1:9" x14ac:dyDescent="0.2">
      <c r="A114" s="106"/>
      <c r="I114" s="107"/>
    </row>
    <row r="115" spans="1:9" x14ac:dyDescent="0.2">
      <c r="A115" s="106"/>
      <c r="B115" s="1" t="s">
        <v>538</v>
      </c>
      <c r="D115" s="110" t="s">
        <v>546</v>
      </c>
      <c r="E115" s="111">
        <f>D113+D108</f>
        <v>55000</v>
      </c>
      <c r="I115" s="107"/>
    </row>
    <row r="116" spans="1:9" ht="17" thickBot="1" x14ac:dyDescent="0.25">
      <c r="A116" s="20"/>
      <c r="B116" s="103" t="s">
        <v>504</v>
      </c>
      <c r="C116" s="103"/>
      <c r="D116" s="103"/>
      <c r="E116" s="103"/>
      <c r="F116" s="103"/>
      <c r="G116" s="103"/>
      <c r="H116" s="103"/>
      <c r="I116" s="21"/>
    </row>
    <row r="118" spans="1:9" x14ac:dyDescent="0.2">
      <c r="A118" s="97" t="s">
        <v>555</v>
      </c>
      <c r="B118" s="96"/>
      <c r="C118" s="96"/>
      <c r="D118" s="96"/>
      <c r="E118" s="96"/>
      <c r="F118" s="96"/>
      <c r="G118" s="96"/>
      <c r="H118" s="96"/>
      <c r="I118" s="96"/>
    </row>
    <row r="119" spans="1:9" x14ac:dyDescent="0.2">
      <c r="A119" s="1" t="s">
        <v>556</v>
      </c>
    </row>
    <row r="120" spans="1:9" x14ac:dyDescent="0.2">
      <c r="A120" s="1" t="s">
        <v>557</v>
      </c>
    </row>
    <row r="121" spans="1:9" x14ac:dyDescent="0.2">
      <c r="A121" s="1" t="s">
        <v>558</v>
      </c>
    </row>
    <row r="122" spans="1:9" x14ac:dyDescent="0.2">
      <c r="A122" s="1" t="s">
        <v>559</v>
      </c>
    </row>
    <row r="123" spans="1:9" x14ac:dyDescent="0.2">
      <c r="A123" s="1" t="s">
        <v>560</v>
      </c>
    </row>
    <row r="125" spans="1:9" x14ac:dyDescent="0.2">
      <c r="A125" s="1" t="s">
        <v>561</v>
      </c>
    </row>
    <row r="126" spans="1:9" x14ac:dyDescent="0.2">
      <c r="A126" s="1" t="s">
        <v>562</v>
      </c>
    </row>
    <row r="127" spans="1:9" x14ac:dyDescent="0.2">
      <c r="A127" s="1" t="s">
        <v>563</v>
      </c>
      <c r="D127" s="1" t="s">
        <v>566</v>
      </c>
    </row>
    <row r="128" spans="1:9" x14ac:dyDescent="0.2">
      <c r="A128" s="1" t="s">
        <v>564</v>
      </c>
      <c r="D128" s="1" t="s">
        <v>567</v>
      </c>
    </row>
    <row r="129" spans="1:7" x14ac:dyDescent="0.2">
      <c r="A129" s="1" t="s">
        <v>565</v>
      </c>
      <c r="D129" s="1" t="s">
        <v>568</v>
      </c>
    </row>
    <row r="131" spans="1:7" x14ac:dyDescent="0.2">
      <c r="B131" s="848" t="s">
        <v>369</v>
      </c>
      <c r="C131" s="848"/>
      <c r="D131" s="848" t="s">
        <v>370</v>
      </c>
      <c r="E131" s="848"/>
      <c r="F131" s="848" t="s">
        <v>385</v>
      </c>
      <c r="G131" s="848"/>
    </row>
    <row r="132" spans="1:7" ht="17" thickBot="1" x14ac:dyDescent="0.25">
      <c r="A132" s="25" t="s">
        <v>386</v>
      </c>
      <c r="B132" s="36" t="s">
        <v>155</v>
      </c>
      <c r="C132" s="36" t="s">
        <v>156</v>
      </c>
      <c r="D132" s="36" t="s">
        <v>155</v>
      </c>
      <c r="E132" s="36" t="s">
        <v>156</v>
      </c>
      <c r="F132" s="36" t="s">
        <v>155</v>
      </c>
      <c r="G132" s="36" t="s">
        <v>156</v>
      </c>
    </row>
    <row r="133" spans="1:7" ht="17" thickBot="1" x14ac:dyDescent="0.25">
      <c r="A133" s="93" t="s">
        <v>399</v>
      </c>
      <c r="B133" s="112">
        <v>40000</v>
      </c>
      <c r="C133" s="113">
        <v>0.05</v>
      </c>
      <c r="D133" s="94"/>
      <c r="E133" s="112">
        <f>C133*B133</f>
        <v>2000</v>
      </c>
      <c r="F133" s="94"/>
      <c r="G133" s="95"/>
    </row>
    <row r="134" spans="1:7" x14ac:dyDescent="0.2">
      <c r="A134" s="1" t="s">
        <v>569</v>
      </c>
      <c r="B134" s="41">
        <v>100000</v>
      </c>
      <c r="C134" s="6"/>
    </row>
    <row r="135" spans="1:7" ht="17" thickBot="1" x14ac:dyDescent="0.25">
      <c r="A135" s="1" t="s">
        <v>570</v>
      </c>
      <c r="B135" s="6"/>
      <c r="C135" s="41">
        <v>80000</v>
      </c>
    </row>
    <row r="136" spans="1:7" ht="17" thickBot="1" x14ac:dyDescent="0.25">
      <c r="A136" s="1" t="s">
        <v>571</v>
      </c>
      <c r="C136" s="114">
        <v>1000</v>
      </c>
      <c r="D136" s="115">
        <f>C136</f>
        <v>1000</v>
      </c>
    </row>
    <row r="137" spans="1:7" ht="17" thickBot="1" x14ac:dyDescent="0.25">
      <c r="A137" s="1" t="s">
        <v>385</v>
      </c>
      <c r="E137" s="116">
        <v>1950</v>
      </c>
      <c r="F137" s="117">
        <f>E137</f>
        <v>1950</v>
      </c>
    </row>
    <row r="138" spans="1:7" ht="17" thickBot="1" x14ac:dyDescent="0.25">
      <c r="A138" s="93" t="s">
        <v>415</v>
      </c>
      <c r="B138" s="112">
        <f>B133+B134-C135-C136</f>
        <v>59000</v>
      </c>
      <c r="C138" s="113">
        <v>0.05</v>
      </c>
      <c r="D138" s="94"/>
      <c r="E138" s="112">
        <f>5%*B138</f>
        <v>2950</v>
      </c>
      <c r="F138" s="112">
        <f>F137</f>
        <v>1950</v>
      </c>
      <c r="G138" s="95"/>
    </row>
    <row r="139" spans="1:7" x14ac:dyDescent="0.2">
      <c r="B139" s="6" t="s">
        <v>572</v>
      </c>
      <c r="C139" s="6"/>
      <c r="D139" s="6"/>
      <c r="E139" s="6" t="s">
        <v>573</v>
      </c>
      <c r="F139" s="6" t="s">
        <v>574</v>
      </c>
    </row>
    <row r="141" spans="1:7" x14ac:dyDescent="0.2">
      <c r="A141" s="1" t="s">
        <v>395</v>
      </c>
    </row>
    <row r="142" spans="1:7" x14ac:dyDescent="0.2">
      <c r="B142" s="1" t="s">
        <v>575</v>
      </c>
      <c r="D142" s="24">
        <v>59000</v>
      </c>
    </row>
    <row r="143" spans="1:7" ht="17" thickBot="1" x14ac:dyDescent="0.25">
      <c r="B143" s="1" t="s">
        <v>370</v>
      </c>
      <c r="D143" s="24">
        <f>-E138</f>
        <v>-2950</v>
      </c>
    </row>
    <row r="144" spans="1:7" ht="17" thickBot="1" x14ac:dyDescent="0.25">
      <c r="B144" s="1" t="s">
        <v>395</v>
      </c>
      <c r="D144" s="26">
        <f>D142+D143</f>
        <v>56050</v>
      </c>
      <c r="E144" s="1" t="s">
        <v>576</v>
      </c>
    </row>
    <row r="146" spans="1:9" x14ac:dyDescent="0.2">
      <c r="A146" s="1" t="s">
        <v>577</v>
      </c>
    </row>
    <row r="147" spans="1:9" x14ac:dyDescent="0.2">
      <c r="A147" s="1" t="s">
        <v>578</v>
      </c>
    </row>
    <row r="148" spans="1:9" x14ac:dyDescent="0.2">
      <c r="A148" s="1" t="s">
        <v>579</v>
      </c>
    </row>
    <row r="149" spans="1:9" x14ac:dyDescent="0.2">
      <c r="A149" s="1" t="s">
        <v>580</v>
      </c>
    </row>
    <row r="150" spans="1:9" x14ac:dyDescent="0.2">
      <c r="A150" s="1" t="s">
        <v>581</v>
      </c>
    </row>
    <row r="151" spans="1:9" x14ac:dyDescent="0.2">
      <c r="A151" s="1" t="s">
        <v>582</v>
      </c>
    </row>
    <row r="153" spans="1:9" x14ac:dyDescent="0.2">
      <c r="A153" s="97" t="s">
        <v>583</v>
      </c>
      <c r="B153" s="96"/>
      <c r="C153" s="96"/>
      <c r="D153" s="96"/>
      <c r="E153" s="96"/>
      <c r="F153" s="96"/>
      <c r="G153" s="96"/>
      <c r="H153" s="96"/>
      <c r="I153" s="96"/>
    </row>
    <row r="154" spans="1:9" x14ac:dyDescent="0.2">
      <c r="A154" s="1" t="s">
        <v>556</v>
      </c>
    </row>
    <row r="155" spans="1:9" x14ac:dyDescent="0.2">
      <c r="A155" s="1" t="s">
        <v>584</v>
      </c>
    </row>
    <row r="156" spans="1:9" x14ac:dyDescent="0.2">
      <c r="A156" s="1" t="s">
        <v>585</v>
      </c>
    </row>
    <row r="157" spans="1:9" x14ac:dyDescent="0.2">
      <c r="A157" s="1" t="s">
        <v>586</v>
      </c>
    </row>
    <row r="158" spans="1:9" x14ac:dyDescent="0.2">
      <c r="A158" s="1" t="s">
        <v>587</v>
      </c>
    </row>
    <row r="159" spans="1:9" x14ac:dyDescent="0.2">
      <c r="A159" s="1" t="s">
        <v>588</v>
      </c>
    </row>
    <row r="161" spans="1:7" x14ac:dyDescent="0.2">
      <c r="A161" s="1" t="s">
        <v>561</v>
      </c>
    </row>
    <row r="162" spans="1:7" x14ac:dyDescent="0.2">
      <c r="A162" s="1" t="s">
        <v>562</v>
      </c>
    </row>
    <row r="163" spans="1:7" x14ac:dyDescent="0.2">
      <c r="A163" s="1" t="s">
        <v>563</v>
      </c>
      <c r="D163" s="1" t="s">
        <v>566</v>
      </c>
    </row>
    <row r="164" spans="1:7" x14ac:dyDescent="0.2">
      <c r="A164" s="1" t="s">
        <v>564</v>
      </c>
      <c r="D164" s="1" t="s">
        <v>567</v>
      </c>
    </row>
    <row r="165" spans="1:7" x14ac:dyDescent="0.2">
      <c r="A165" s="2" t="s">
        <v>565</v>
      </c>
      <c r="B165" s="2"/>
      <c r="C165" s="2"/>
      <c r="D165" s="2" t="s">
        <v>568</v>
      </c>
    </row>
    <row r="167" spans="1:7" x14ac:dyDescent="0.2">
      <c r="B167" s="848" t="s">
        <v>369</v>
      </c>
      <c r="C167" s="848"/>
      <c r="D167" s="848" t="s">
        <v>370</v>
      </c>
      <c r="E167" s="848"/>
      <c r="F167" s="848" t="s">
        <v>385</v>
      </c>
      <c r="G167" s="848"/>
    </row>
    <row r="168" spans="1:7" ht="17" thickBot="1" x14ac:dyDescent="0.25">
      <c r="A168" s="25" t="s">
        <v>386</v>
      </c>
      <c r="B168" s="36" t="s">
        <v>155</v>
      </c>
      <c r="C168" s="36" t="s">
        <v>156</v>
      </c>
      <c r="D168" s="36" t="s">
        <v>155</v>
      </c>
      <c r="E168" s="36" t="s">
        <v>156</v>
      </c>
      <c r="F168" s="36" t="s">
        <v>155</v>
      </c>
      <c r="G168" s="36" t="s">
        <v>156</v>
      </c>
    </row>
    <row r="169" spans="1:7" ht="17" thickBot="1" x14ac:dyDescent="0.25">
      <c r="A169" s="93" t="s">
        <v>399</v>
      </c>
      <c r="B169" s="112">
        <v>100000</v>
      </c>
      <c r="C169" s="113">
        <v>0.05</v>
      </c>
      <c r="D169" s="94"/>
      <c r="E169" s="112">
        <f>B169*C169</f>
        <v>5000</v>
      </c>
      <c r="F169" s="94"/>
      <c r="G169" s="95"/>
    </row>
    <row r="170" spans="1:7" x14ac:dyDescent="0.2">
      <c r="A170" s="1" t="s">
        <v>569</v>
      </c>
      <c r="B170" s="41">
        <v>90000</v>
      </c>
      <c r="C170" s="6"/>
    </row>
    <row r="171" spans="1:7" ht="17" thickBot="1" x14ac:dyDescent="0.25">
      <c r="A171" s="1" t="s">
        <v>570</v>
      </c>
      <c r="B171" s="6"/>
      <c r="C171" s="41">
        <v>40000</v>
      </c>
    </row>
    <row r="172" spans="1:7" ht="17" thickBot="1" x14ac:dyDescent="0.25">
      <c r="A172" s="1" t="s">
        <v>571</v>
      </c>
      <c r="C172" s="114">
        <v>4000</v>
      </c>
      <c r="D172" s="115">
        <v>4000</v>
      </c>
    </row>
    <row r="173" spans="1:7" ht="17" thickBot="1" x14ac:dyDescent="0.25">
      <c r="A173" s="1" t="s">
        <v>385</v>
      </c>
      <c r="E173" s="116">
        <v>13600</v>
      </c>
      <c r="F173" s="117">
        <f>E173</f>
        <v>13600</v>
      </c>
    </row>
    <row r="174" spans="1:7" ht="17" thickBot="1" x14ac:dyDescent="0.25">
      <c r="A174" s="93" t="s">
        <v>415</v>
      </c>
      <c r="B174" s="112">
        <f>B169+B170-C171-C172</f>
        <v>146000</v>
      </c>
      <c r="C174" s="113">
        <v>0.1</v>
      </c>
      <c r="D174" s="94"/>
      <c r="E174" s="112">
        <f>B174*C174</f>
        <v>14600</v>
      </c>
      <c r="F174" s="112">
        <f>F173</f>
        <v>13600</v>
      </c>
      <c r="G174" s="95"/>
    </row>
    <row r="175" spans="1:7" x14ac:dyDescent="0.2">
      <c r="B175" s="6"/>
      <c r="C175" s="6"/>
      <c r="D175" s="6"/>
      <c r="E175" s="6"/>
      <c r="F175" s="6"/>
    </row>
    <row r="177" spans="1:9" x14ac:dyDescent="0.2">
      <c r="A177" s="1" t="s">
        <v>395</v>
      </c>
    </row>
    <row r="178" spans="1:9" x14ac:dyDescent="0.2">
      <c r="B178" s="1" t="s">
        <v>575</v>
      </c>
      <c r="D178" s="24">
        <f>B174</f>
        <v>146000</v>
      </c>
    </row>
    <row r="179" spans="1:9" ht="17" thickBot="1" x14ac:dyDescent="0.25">
      <c r="B179" s="1" t="s">
        <v>370</v>
      </c>
      <c r="D179" s="24">
        <f>-E174</f>
        <v>-14600</v>
      </c>
    </row>
    <row r="180" spans="1:9" ht="17" thickBot="1" x14ac:dyDescent="0.25">
      <c r="B180" s="1" t="s">
        <v>395</v>
      </c>
      <c r="D180" s="26">
        <f>D178+D179</f>
        <v>131400</v>
      </c>
      <c r="E180" s="1" t="s">
        <v>576</v>
      </c>
    </row>
    <row r="182" spans="1:9" x14ac:dyDescent="0.2">
      <c r="A182" s="1" t="s">
        <v>77</v>
      </c>
      <c r="B182" s="1" t="s">
        <v>589</v>
      </c>
    </row>
    <row r="183" spans="1:9" x14ac:dyDescent="0.2">
      <c r="B183" s="1" t="s">
        <v>590</v>
      </c>
    </row>
    <row r="184" spans="1:9" x14ac:dyDescent="0.2">
      <c r="B184" s="1" t="s">
        <v>591</v>
      </c>
    </row>
    <row r="185" spans="1:9" x14ac:dyDescent="0.2">
      <c r="B185" s="1" t="s">
        <v>592</v>
      </c>
    </row>
    <row r="186" spans="1:9" x14ac:dyDescent="0.2">
      <c r="B186" s="1" t="s">
        <v>593</v>
      </c>
    </row>
    <row r="188" spans="1:9" x14ac:dyDescent="0.2">
      <c r="B188" s="1" t="s">
        <v>594</v>
      </c>
    </row>
    <row r="189" spans="1:9" x14ac:dyDescent="0.2">
      <c r="B189" s="1" t="s">
        <v>595</v>
      </c>
    </row>
    <row r="191" spans="1:9" x14ac:dyDescent="0.2">
      <c r="A191" s="97" t="s">
        <v>596</v>
      </c>
      <c r="B191" s="96"/>
      <c r="C191" s="96"/>
      <c r="D191" s="96"/>
      <c r="E191" s="96"/>
      <c r="F191" s="96"/>
      <c r="G191" s="96"/>
      <c r="H191" s="96"/>
      <c r="I191" s="96"/>
    </row>
    <row r="192" spans="1:9" x14ac:dyDescent="0.2">
      <c r="A192" s="1" t="s">
        <v>597</v>
      </c>
    </row>
    <row r="193" spans="1:7" x14ac:dyDescent="0.2">
      <c r="A193" s="1" t="s">
        <v>598</v>
      </c>
    </row>
    <row r="194" spans="1:7" x14ac:dyDescent="0.2">
      <c r="A194" s="1" t="s">
        <v>599</v>
      </c>
    </row>
    <row r="195" spans="1:7" x14ac:dyDescent="0.2">
      <c r="A195" s="1" t="s">
        <v>600</v>
      </c>
    </row>
    <row r="196" spans="1:7" x14ac:dyDescent="0.2">
      <c r="A196" s="1" t="s">
        <v>601</v>
      </c>
    </row>
    <row r="198" spans="1:7" x14ac:dyDescent="0.2">
      <c r="B198" s="848" t="s">
        <v>369</v>
      </c>
      <c r="C198" s="848"/>
      <c r="D198" s="848" t="s">
        <v>370</v>
      </c>
      <c r="E198" s="848"/>
      <c r="F198" s="848" t="s">
        <v>385</v>
      </c>
      <c r="G198" s="848"/>
    </row>
    <row r="199" spans="1:7" ht="17" thickBot="1" x14ac:dyDescent="0.25">
      <c r="A199" s="25" t="s">
        <v>386</v>
      </c>
      <c r="B199" s="36" t="s">
        <v>155</v>
      </c>
      <c r="C199" s="36" t="s">
        <v>156</v>
      </c>
      <c r="D199" s="36" t="s">
        <v>155</v>
      </c>
      <c r="E199" s="36" t="s">
        <v>156</v>
      </c>
      <c r="F199" s="36" t="s">
        <v>155</v>
      </c>
      <c r="G199" s="36" t="s">
        <v>156</v>
      </c>
    </row>
    <row r="200" spans="1:7" ht="17" thickBot="1" x14ac:dyDescent="0.25">
      <c r="A200" s="93" t="s">
        <v>399</v>
      </c>
      <c r="B200" s="112">
        <v>100000</v>
      </c>
      <c r="C200" s="113">
        <v>0.1</v>
      </c>
      <c r="D200" s="94"/>
      <c r="E200" s="112">
        <f>B200*C200</f>
        <v>10000</v>
      </c>
      <c r="F200" s="94"/>
      <c r="G200" s="95"/>
    </row>
    <row r="201" spans="1:7" x14ac:dyDescent="0.2">
      <c r="A201" s="1" t="s">
        <v>569</v>
      </c>
      <c r="B201" s="41" t="s">
        <v>607</v>
      </c>
      <c r="C201" s="6"/>
    </row>
    <row r="202" spans="1:7" ht="17" thickBot="1" x14ac:dyDescent="0.25">
      <c r="A202" s="1" t="s">
        <v>570</v>
      </c>
      <c r="B202" s="6" t="s">
        <v>607</v>
      </c>
      <c r="C202" s="41"/>
    </row>
    <row r="203" spans="1:7" ht="17" thickBot="1" x14ac:dyDescent="0.25">
      <c r="A203" s="1" t="s">
        <v>571</v>
      </c>
      <c r="C203" s="114">
        <v>4000</v>
      </c>
      <c r="D203" s="115">
        <f>C203</f>
        <v>4000</v>
      </c>
    </row>
    <row r="204" spans="1:7" ht="17" thickBot="1" x14ac:dyDescent="0.25">
      <c r="A204" s="1" t="s">
        <v>385</v>
      </c>
      <c r="E204" s="116">
        <v>9000</v>
      </c>
      <c r="F204" s="117">
        <f>E204</f>
        <v>9000</v>
      </c>
    </row>
    <row r="205" spans="1:7" ht="17" thickBot="1" x14ac:dyDescent="0.25">
      <c r="A205" s="93" t="s">
        <v>415</v>
      </c>
      <c r="B205" s="112">
        <v>150000</v>
      </c>
      <c r="C205" s="113">
        <v>0.1</v>
      </c>
      <c r="D205" s="94"/>
      <c r="E205" s="112">
        <f>B205*C205</f>
        <v>15000</v>
      </c>
      <c r="F205" s="112"/>
      <c r="G205" s="95"/>
    </row>
    <row r="207" spans="1:7" x14ac:dyDescent="0.2">
      <c r="A207" s="1" t="s">
        <v>602</v>
      </c>
    </row>
    <row r="208" spans="1:7" x14ac:dyDescent="0.2">
      <c r="A208" s="1" t="s">
        <v>603</v>
      </c>
    </row>
    <row r="209" spans="1:9" x14ac:dyDescent="0.2">
      <c r="A209" s="1" t="s">
        <v>604</v>
      </c>
    </row>
    <row r="210" spans="1:9" x14ac:dyDescent="0.2">
      <c r="A210" s="1" t="s">
        <v>605</v>
      </c>
    </row>
    <row r="211" spans="1:9" x14ac:dyDescent="0.2">
      <c r="A211" s="1" t="s">
        <v>606</v>
      </c>
    </row>
    <row r="213" spans="1:9" x14ac:dyDescent="0.2">
      <c r="A213" s="2" t="s">
        <v>608</v>
      </c>
    </row>
    <row r="215" spans="1:9" x14ac:dyDescent="0.2">
      <c r="A215" s="97" t="s">
        <v>609</v>
      </c>
      <c r="B215" s="96"/>
      <c r="C215" s="96"/>
      <c r="D215" s="96"/>
      <c r="E215" s="96"/>
      <c r="F215" s="96"/>
      <c r="G215" s="96"/>
      <c r="H215" s="96"/>
      <c r="I215" s="96"/>
    </row>
    <row r="216" spans="1:9" x14ac:dyDescent="0.2">
      <c r="A216" s="1" t="s">
        <v>610</v>
      </c>
    </row>
    <row r="218" spans="1:9" x14ac:dyDescent="0.2">
      <c r="D218" s="36" t="s">
        <v>399</v>
      </c>
      <c r="E218" s="36" t="s">
        <v>415</v>
      </c>
      <c r="F218" s="36" t="s">
        <v>611</v>
      </c>
    </row>
    <row r="219" spans="1:9" x14ac:dyDescent="0.2">
      <c r="B219" s="1" t="s">
        <v>369</v>
      </c>
      <c r="D219" s="41">
        <v>100000</v>
      </c>
      <c r="E219" s="41">
        <v>200000</v>
      </c>
      <c r="F219" s="41">
        <v>300000</v>
      </c>
    </row>
    <row r="220" spans="1:9" x14ac:dyDescent="0.2">
      <c r="B220" s="1" t="s">
        <v>612</v>
      </c>
      <c r="D220" s="118">
        <v>0.1</v>
      </c>
      <c r="E220" s="118">
        <v>0.1</v>
      </c>
      <c r="F220" s="118">
        <v>0.2</v>
      </c>
    </row>
    <row r="221" spans="1:9" x14ac:dyDescent="0.2">
      <c r="B221" s="1" t="s">
        <v>613</v>
      </c>
      <c r="D221" s="6">
        <v>0</v>
      </c>
      <c r="E221" s="6">
        <v>0</v>
      </c>
      <c r="F221" s="41">
        <v>5000</v>
      </c>
    </row>
    <row r="223" spans="1:9" x14ac:dyDescent="0.2">
      <c r="A223" s="1" t="s">
        <v>614</v>
      </c>
    </row>
    <row r="224" spans="1:9" x14ac:dyDescent="0.2">
      <c r="A224" s="1" t="s">
        <v>615</v>
      </c>
    </row>
    <row r="225" spans="1:7" x14ac:dyDescent="0.2">
      <c r="A225" s="1" t="s">
        <v>616</v>
      </c>
    </row>
    <row r="226" spans="1:7" x14ac:dyDescent="0.2">
      <c r="A226" s="1" t="s">
        <v>617</v>
      </c>
    </row>
    <row r="227" spans="1:7" x14ac:dyDescent="0.2">
      <c r="A227" s="1" t="s">
        <v>618</v>
      </c>
    </row>
    <row r="228" spans="1:7" x14ac:dyDescent="0.2">
      <c r="A228" s="1" t="s">
        <v>619</v>
      </c>
    </row>
    <row r="230" spans="1:7" x14ac:dyDescent="0.2">
      <c r="B230" s="848" t="s">
        <v>369</v>
      </c>
      <c r="C230" s="848"/>
      <c r="D230" s="848" t="s">
        <v>370</v>
      </c>
      <c r="E230" s="848"/>
      <c r="F230" s="848" t="s">
        <v>385</v>
      </c>
      <c r="G230" s="848"/>
    </row>
    <row r="231" spans="1:7" ht="17" thickBot="1" x14ac:dyDescent="0.25">
      <c r="A231" s="25" t="s">
        <v>386</v>
      </c>
      <c r="B231" s="36" t="s">
        <v>155</v>
      </c>
      <c r="C231" s="36" t="s">
        <v>156</v>
      </c>
      <c r="D231" s="36" t="s">
        <v>155</v>
      </c>
      <c r="E231" s="36" t="s">
        <v>156</v>
      </c>
      <c r="F231" s="36" t="s">
        <v>155</v>
      </c>
      <c r="G231" s="36" t="s">
        <v>156</v>
      </c>
    </row>
    <row r="232" spans="1:7" ht="17" thickBot="1" x14ac:dyDescent="0.25">
      <c r="A232" s="93" t="s">
        <v>415</v>
      </c>
      <c r="B232" s="112">
        <v>200000</v>
      </c>
      <c r="C232" s="113">
        <v>0.1</v>
      </c>
      <c r="D232" s="94"/>
      <c r="E232" s="112">
        <f>B232*C232</f>
        <v>20000</v>
      </c>
      <c r="F232" s="94"/>
      <c r="G232" s="95"/>
    </row>
    <row r="233" spans="1:7" x14ac:dyDescent="0.2">
      <c r="A233" s="1" t="s">
        <v>569</v>
      </c>
      <c r="B233" s="41" t="s">
        <v>607</v>
      </c>
      <c r="C233" s="6"/>
    </row>
    <row r="234" spans="1:7" ht="17" thickBot="1" x14ac:dyDescent="0.25">
      <c r="A234" s="1" t="s">
        <v>570</v>
      </c>
      <c r="B234" s="6" t="s">
        <v>607</v>
      </c>
      <c r="C234" s="41"/>
    </row>
    <row r="235" spans="1:7" ht="17" thickBot="1" x14ac:dyDescent="0.25">
      <c r="A235" s="1" t="s">
        <v>571</v>
      </c>
      <c r="C235" s="114">
        <v>5000</v>
      </c>
      <c r="D235" s="115">
        <f>C235</f>
        <v>5000</v>
      </c>
    </row>
    <row r="236" spans="1:7" ht="17" thickBot="1" x14ac:dyDescent="0.25">
      <c r="A236" s="1" t="s">
        <v>385</v>
      </c>
      <c r="E236" s="116">
        <v>45000</v>
      </c>
      <c r="F236" s="117">
        <f>E236</f>
        <v>45000</v>
      </c>
    </row>
    <row r="237" spans="1:7" ht="17" thickBot="1" x14ac:dyDescent="0.25">
      <c r="A237" s="93" t="s">
        <v>611</v>
      </c>
      <c r="B237" s="112">
        <v>300000</v>
      </c>
      <c r="C237" s="113">
        <v>0.2</v>
      </c>
      <c r="D237" s="94"/>
      <c r="E237" s="112">
        <f>B237*C237</f>
        <v>60000</v>
      </c>
      <c r="F237" s="112"/>
      <c r="G237" s="95"/>
    </row>
    <row r="239" spans="1:7" x14ac:dyDescent="0.2">
      <c r="A239" s="1" t="s">
        <v>620</v>
      </c>
    </row>
  </sheetData>
  <mergeCells count="16">
    <mergeCell ref="B230:C230"/>
    <mergeCell ref="D230:E230"/>
    <mergeCell ref="F230:G230"/>
    <mergeCell ref="B167:C167"/>
    <mergeCell ref="D167:E167"/>
    <mergeCell ref="F167:G167"/>
    <mergeCell ref="B198:C198"/>
    <mergeCell ref="D198:E198"/>
    <mergeCell ref="F198:G198"/>
    <mergeCell ref="A1:H1"/>
    <mergeCell ref="D16:E16"/>
    <mergeCell ref="D19:E19"/>
    <mergeCell ref="D22:E22"/>
    <mergeCell ref="B131:C131"/>
    <mergeCell ref="D131:E131"/>
    <mergeCell ref="F131:G131"/>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E405F-A8E9-BE4E-A99B-8188FDB6061B}">
  <dimension ref="A1:N1033"/>
  <sheetViews>
    <sheetView rightToLeft="1" zoomScale="255" zoomScaleNormal="280" workbookViewId="0">
      <selection activeCell="C761" sqref="C761"/>
    </sheetView>
  </sheetViews>
  <sheetFormatPr baseColWidth="10" defaultRowHeight="16" x14ac:dyDescent="0.2"/>
  <cols>
    <col min="1" max="16384" width="10.83203125" style="1"/>
  </cols>
  <sheetData>
    <row r="1" spans="1:8" x14ac:dyDescent="0.2">
      <c r="A1" s="829" t="s">
        <v>3938</v>
      </c>
      <c r="B1" s="829"/>
      <c r="C1" s="829"/>
      <c r="D1" s="829"/>
      <c r="E1" s="829"/>
      <c r="F1" s="829"/>
      <c r="G1" s="829"/>
      <c r="H1" s="829"/>
    </row>
    <row r="2" spans="1:8" x14ac:dyDescent="0.2">
      <c r="F2" s="8"/>
      <c r="H2" s="456"/>
    </row>
    <row r="3" spans="1:8" x14ac:dyDescent="0.2">
      <c r="F3" s="8"/>
      <c r="H3" s="35"/>
    </row>
    <row r="4" spans="1:8" x14ac:dyDescent="0.2">
      <c r="A4" s="16" t="s">
        <v>636</v>
      </c>
      <c r="B4" s="16"/>
      <c r="C4" s="16"/>
      <c r="D4" s="16"/>
      <c r="E4" s="16"/>
      <c r="F4" s="16"/>
      <c r="G4" s="16"/>
      <c r="H4" s="16"/>
    </row>
    <row r="5" spans="1:8" x14ac:dyDescent="0.2">
      <c r="A5" s="1" t="s">
        <v>632</v>
      </c>
    </row>
    <row r="6" spans="1:8" x14ac:dyDescent="0.2">
      <c r="A6" s="1" t="s">
        <v>633</v>
      </c>
    </row>
    <row r="7" spans="1:8" x14ac:dyDescent="0.2">
      <c r="A7" s="1" t="s">
        <v>634</v>
      </c>
    </row>
    <row r="8" spans="1:8" x14ac:dyDescent="0.2">
      <c r="A8" s="1" t="s">
        <v>3064</v>
      </c>
    </row>
    <row r="9" spans="1:8" x14ac:dyDescent="0.2">
      <c r="A9" s="1" t="s">
        <v>635</v>
      </c>
    </row>
    <row r="11" spans="1:8" x14ac:dyDescent="0.2">
      <c r="A11" s="16" t="s">
        <v>637</v>
      </c>
      <c r="B11" s="16"/>
      <c r="C11" s="16"/>
      <c r="D11" s="16"/>
      <c r="E11" s="16"/>
      <c r="F11" s="16"/>
      <c r="G11" s="16"/>
      <c r="H11" s="16"/>
    </row>
    <row r="12" spans="1:8" x14ac:dyDescent="0.2">
      <c r="A12" s="1" t="s">
        <v>638</v>
      </c>
    </row>
    <row r="13" spans="1:8" x14ac:dyDescent="0.2">
      <c r="A13" s="1" t="s">
        <v>639</v>
      </c>
    </row>
    <row r="15" spans="1:8" x14ac:dyDescent="0.2">
      <c r="A15" s="85" t="s">
        <v>640</v>
      </c>
      <c r="B15" s="85"/>
      <c r="C15" s="85"/>
      <c r="D15" s="85"/>
      <c r="E15" s="85"/>
      <c r="F15" s="85"/>
      <c r="G15" s="85"/>
      <c r="H15" s="85"/>
    </row>
    <row r="16" spans="1:8" x14ac:dyDescent="0.2">
      <c r="A16" s="1" t="s">
        <v>641</v>
      </c>
    </row>
    <row r="17" spans="1:8" x14ac:dyDescent="0.2">
      <c r="A17" s="1" t="s">
        <v>642</v>
      </c>
    </row>
    <row r="18" spans="1:8" x14ac:dyDescent="0.2">
      <c r="A18" s="1" t="s">
        <v>643</v>
      </c>
    </row>
    <row r="20" spans="1:8" x14ac:dyDescent="0.2">
      <c r="A20" s="1" t="s">
        <v>3065</v>
      </c>
    </row>
    <row r="22" spans="1:8" x14ac:dyDescent="0.2">
      <c r="A22" s="1" t="s">
        <v>644</v>
      </c>
    </row>
    <row r="23" spans="1:8" x14ac:dyDescent="0.2">
      <c r="A23" s="1" t="s">
        <v>645</v>
      </c>
    </row>
    <row r="25" spans="1:8" x14ac:dyDescent="0.2">
      <c r="A25" s="85" t="s">
        <v>646</v>
      </c>
      <c r="B25" s="85"/>
      <c r="C25" s="85"/>
      <c r="D25" s="85"/>
      <c r="E25" s="85"/>
      <c r="F25" s="85"/>
      <c r="G25" s="85"/>
      <c r="H25" s="85"/>
    </row>
    <row r="26" spans="1:8" x14ac:dyDescent="0.2">
      <c r="A26" s="2" t="s">
        <v>3066</v>
      </c>
      <c r="B26" s="2"/>
      <c r="C26" s="2"/>
      <c r="D26" s="2"/>
      <c r="E26" s="2"/>
      <c r="F26" s="2"/>
      <c r="G26" s="2"/>
      <c r="H26" s="2"/>
    </row>
    <row r="27" spans="1:8" ht="17" thickBot="1" x14ac:dyDescent="0.25">
      <c r="A27" s="2" t="s">
        <v>3067</v>
      </c>
      <c r="B27" s="2"/>
      <c r="C27" s="2"/>
      <c r="D27" s="2"/>
      <c r="E27" s="2"/>
      <c r="F27" s="2"/>
      <c r="G27" s="2"/>
      <c r="H27" s="2"/>
    </row>
    <row r="28" spans="1:8" x14ac:dyDescent="0.2">
      <c r="A28" s="2"/>
      <c r="B28" s="2"/>
      <c r="C28" s="2"/>
      <c r="D28" s="2"/>
      <c r="E28" s="2"/>
      <c r="F28" s="159"/>
      <c r="G28" s="160"/>
      <c r="H28" s="161"/>
    </row>
    <row r="29" spans="1:8" x14ac:dyDescent="0.2">
      <c r="A29" s="2"/>
      <c r="B29" s="2"/>
      <c r="C29" s="2"/>
      <c r="D29" s="2"/>
      <c r="E29" s="2"/>
      <c r="F29" s="610"/>
      <c r="G29" s="7"/>
      <c r="H29" s="611"/>
    </row>
    <row r="30" spans="1:8" x14ac:dyDescent="0.2">
      <c r="A30" s="2"/>
      <c r="B30" s="2"/>
      <c r="C30" s="2"/>
      <c r="D30" s="2"/>
      <c r="E30" s="2"/>
      <c r="F30" s="610"/>
      <c r="G30" s="7"/>
      <c r="H30" s="611"/>
    </row>
    <row r="31" spans="1:8" x14ac:dyDescent="0.2">
      <c r="A31" s="2"/>
      <c r="B31" s="110" t="s">
        <v>2852</v>
      </c>
      <c r="C31" s="2"/>
      <c r="D31" s="2"/>
      <c r="E31" s="2"/>
      <c r="F31" s="610"/>
      <c r="G31" s="187" t="s">
        <v>3984</v>
      </c>
      <c r="H31" s="611"/>
    </row>
    <row r="32" spans="1:8" x14ac:dyDescent="0.2">
      <c r="A32" s="2"/>
      <c r="B32" s="2" t="s">
        <v>3068</v>
      </c>
      <c r="C32" s="2"/>
      <c r="D32" s="2"/>
      <c r="E32" s="2"/>
      <c r="F32" s="610" t="s">
        <v>3073</v>
      </c>
      <c r="G32" s="7"/>
      <c r="H32" s="611"/>
    </row>
    <row r="33" spans="1:8" x14ac:dyDescent="0.2">
      <c r="A33" s="2" t="s">
        <v>3072</v>
      </c>
      <c r="B33" s="2" t="s">
        <v>3069</v>
      </c>
      <c r="C33" s="2"/>
      <c r="D33" s="2"/>
      <c r="E33" s="2"/>
      <c r="F33" s="610" t="s">
        <v>3939</v>
      </c>
      <c r="G33" s="7"/>
      <c r="H33" s="611"/>
    </row>
    <row r="34" spans="1:8" x14ac:dyDescent="0.2">
      <c r="A34" s="2"/>
      <c r="B34" s="1" t="s">
        <v>3070</v>
      </c>
      <c r="C34" s="2"/>
      <c r="D34" s="2"/>
      <c r="E34" s="2"/>
      <c r="F34" s="414" t="s">
        <v>3074</v>
      </c>
      <c r="G34" s="7"/>
      <c r="H34" s="611"/>
    </row>
    <row r="35" spans="1:8" ht="17" thickBot="1" x14ac:dyDescent="0.25">
      <c r="A35" s="2"/>
      <c r="B35" s="1" t="s">
        <v>3071</v>
      </c>
      <c r="C35" s="2"/>
      <c r="D35" s="2"/>
      <c r="E35" s="2"/>
      <c r="F35" s="612" t="s">
        <v>3075</v>
      </c>
      <c r="G35" s="613"/>
      <c r="H35" s="614"/>
    </row>
    <row r="36" spans="1:8" x14ac:dyDescent="0.2">
      <c r="A36" s="2"/>
      <c r="B36" s="2"/>
      <c r="C36" s="2"/>
      <c r="D36" s="2"/>
      <c r="E36" s="2"/>
      <c r="F36" s="2"/>
      <c r="G36" s="2"/>
      <c r="H36" s="2"/>
    </row>
    <row r="37" spans="1:8" x14ac:dyDescent="0.2">
      <c r="A37" s="2"/>
      <c r="B37" s="2"/>
      <c r="C37" s="2"/>
      <c r="D37" s="2"/>
      <c r="E37" s="2"/>
      <c r="F37" s="2"/>
      <c r="G37" s="2"/>
      <c r="H37" s="2"/>
    </row>
    <row r="38" spans="1:8" x14ac:dyDescent="0.2">
      <c r="A38" s="1" t="s">
        <v>647</v>
      </c>
    </row>
    <row r="39" spans="1:8" x14ac:dyDescent="0.2">
      <c r="A39" s="1" t="s">
        <v>648</v>
      </c>
    </row>
    <row r="41" spans="1:8" x14ac:dyDescent="0.2">
      <c r="C41" s="1" t="s">
        <v>649</v>
      </c>
      <c r="E41" s="6" t="s">
        <v>69</v>
      </c>
    </row>
    <row r="42" spans="1:8" ht="17" thickBot="1" x14ac:dyDescent="0.25">
      <c r="C42" s="1" t="s">
        <v>652</v>
      </c>
      <c r="E42" s="6" t="s">
        <v>70</v>
      </c>
    </row>
    <row r="43" spans="1:8" ht="17" thickBot="1" x14ac:dyDescent="0.25">
      <c r="A43" s="1" t="s">
        <v>3076</v>
      </c>
      <c r="C43" s="1" t="s">
        <v>651</v>
      </c>
      <c r="E43" s="17" t="s">
        <v>72</v>
      </c>
    </row>
    <row r="45" spans="1:8" x14ac:dyDescent="0.2">
      <c r="A45" s="6" t="s">
        <v>77</v>
      </c>
      <c r="B45" s="1" t="s">
        <v>653</v>
      </c>
    </row>
    <row r="46" spans="1:8" x14ac:dyDescent="0.2">
      <c r="B46" s="1" t="s">
        <v>654</v>
      </c>
    </row>
    <row r="48" spans="1:8" ht="23" x14ac:dyDescent="0.25">
      <c r="A48" s="445" t="s">
        <v>2543</v>
      </c>
      <c r="B48" s="445"/>
      <c r="C48" s="445"/>
      <c r="D48" s="445"/>
      <c r="E48" s="445"/>
      <c r="F48" s="445"/>
      <c r="G48" s="445"/>
      <c r="H48" s="445"/>
    </row>
    <row r="50" spans="1:8" x14ac:dyDescent="0.2">
      <c r="A50" s="1" t="s">
        <v>3077</v>
      </c>
    </row>
    <row r="51" spans="1:8" x14ac:dyDescent="0.2">
      <c r="A51" s="1" t="s">
        <v>3078</v>
      </c>
    </row>
    <row r="52" spans="1:8" x14ac:dyDescent="0.2">
      <c r="A52" s="1" t="s">
        <v>3079</v>
      </c>
    </row>
    <row r="54" spans="1:8" x14ac:dyDescent="0.2">
      <c r="A54" s="34" t="s">
        <v>3940</v>
      </c>
      <c r="B54" s="34"/>
      <c r="C54" s="34"/>
      <c r="D54" s="34"/>
      <c r="E54" s="34"/>
      <c r="F54" s="34"/>
      <c r="G54" s="34"/>
      <c r="H54" s="34"/>
    </row>
    <row r="55" spans="1:8" x14ac:dyDescent="0.2">
      <c r="A55" s="1" t="s">
        <v>655</v>
      </c>
    </row>
    <row r="56" spans="1:8" x14ac:dyDescent="0.2">
      <c r="A56" s="1" t="s">
        <v>656</v>
      </c>
    </row>
    <row r="57" spans="1:8" x14ac:dyDescent="0.2">
      <c r="A57" s="1" t="s">
        <v>2528</v>
      </c>
    </row>
    <row r="58" spans="1:8" x14ac:dyDescent="0.2">
      <c r="A58" s="1" t="s">
        <v>2529</v>
      </c>
    </row>
    <row r="60" spans="1:8" x14ac:dyDescent="0.2">
      <c r="A60" s="2" t="s">
        <v>657</v>
      </c>
      <c r="F60" s="123" t="s">
        <v>2530</v>
      </c>
      <c r="G60" s="123"/>
      <c r="H60" s="123"/>
    </row>
    <row r="61" spans="1:8" x14ac:dyDescent="0.2">
      <c r="A61" s="1" t="s">
        <v>658</v>
      </c>
    </row>
    <row r="62" spans="1:8" x14ac:dyDescent="0.2">
      <c r="A62" s="1" t="s">
        <v>659</v>
      </c>
    </row>
    <row r="63" spans="1:8" x14ac:dyDescent="0.2">
      <c r="A63" s="1" t="s">
        <v>660</v>
      </c>
    </row>
    <row r="65" spans="1:9" x14ac:dyDescent="0.2">
      <c r="A65" s="1" t="s">
        <v>661</v>
      </c>
    </row>
    <row r="66" spans="1:9" x14ac:dyDescent="0.2">
      <c r="A66" s="1" t="s">
        <v>662</v>
      </c>
    </row>
    <row r="68" spans="1:9" x14ac:dyDescent="0.2">
      <c r="A68" s="1" t="s">
        <v>663</v>
      </c>
    </row>
    <row r="70" spans="1:9" x14ac:dyDescent="0.2">
      <c r="A70" s="1" t="s">
        <v>664</v>
      </c>
    </row>
    <row r="72" spans="1:9" x14ac:dyDescent="0.2">
      <c r="A72" s="2" t="s">
        <v>674</v>
      </c>
      <c r="I72" s="1" t="s">
        <v>3941</v>
      </c>
    </row>
    <row r="73" spans="1:9" x14ac:dyDescent="0.2">
      <c r="A73" s="2"/>
    </row>
    <row r="74" spans="1:9" x14ac:dyDescent="0.2">
      <c r="A74" s="1" t="s">
        <v>3942</v>
      </c>
    </row>
    <row r="76" spans="1:9" x14ac:dyDescent="0.2">
      <c r="A76" s="1" t="s">
        <v>665</v>
      </c>
    </row>
    <row r="77" spans="1:9" x14ac:dyDescent="0.2">
      <c r="A77" s="6" t="s">
        <v>666</v>
      </c>
      <c r="B77" s="1" t="s">
        <v>667</v>
      </c>
    </row>
    <row r="78" spans="1:9" x14ac:dyDescent="0.2">
      <c r="A78" s="6" t="s">
        <v>668</v>
      </c>
      <c r="B78" s="1" t="s">
        <v>669</v>
      </c>
    </row>
    <row r="79" spans="1:9" x14ac:dyDescent="0.2">
      <c r="A79" s="6" t="s">
        <v>670</v>
      </c>
      <c r="B79" s="1" t="s">
        <v>671</v>
      </c>
    </row>
    <row r="80" spans="1:9" x14ac:dyDescent="0.2">
      <c r="A80" s="6" t="s">
        <v>672</v>
      </c>
      <c r="B80" s="1" t="s">
        <v>673</v>
      </c>
    </row>
    <row r="82" spans="1:6" x14ac:dyDescent="0.2">
      <c r="A82" s="2" t="s">
        <v>675</v>
      </c>
    </row>
    <row r="83" spans="1:6" x14ac:dyDescent="0.2">
      <c r="A83" s="2" t="s">
        <v>676</v>
      </c>
    </row>
    <row r="85" spans="1:6" x14ac:dyDescent="0.2">
      <c r="C85" s="440">
        <v>41274</v>
      </c>
      <c r="D85" s="440">
        <v>41639</v>
      </c>
      <c r="E85" s="440">
        <v>42004</v>
      </c>
    </row>
    <row r="86" spans="1:6" x14ac:dyDescent="0.2">
      <c r="A86" s="1" t="s">
        <v>3080</v>
      </c>
      <c r="C86" s="256">
        <v>100000</v>
      </c>
      <c r="D86" s="256">
        <v>100000</v>
      </c>
      <c r="E86" s="256">
        <v>100000</v>
      </c>
    </row>
    <row r="87" spans="1:6" x14ac:dyDescent="0.2">
      <c r="A87" s="1" t="s">
        <v>3081</v>
      </c>
      <c r="C87" s="256">
        <f>-C90</f>
        <v>-10000</v>
      </c>
      <c r="D87" s="256">
        <f>C87-D90</f>
        <v>-20000</v>
      </c>
      <c r="E87" s="256">
        <f>D87-E90</f>
        <v>-30000</v>
      </c>
    </row>
    <row r="88" spans="1:6" s="13" customFormat="1" x14ac:dyDescent="0.2">
      <c r="A88" s="13" t="s">
        <v>3082</v>
      </c>
      <c r="C88" s="441">
        <f>C86+C87</f>
        <v>90000</v>
      </c>
      <c r="D88" s="441">
        <f t="shared" ref="D88:E88" si="0">D86+D87</f>
        <v>80000</v>
      </c>
      <c r="E88" s="441">
        <f t="shared" si="0"/>
        <v>70000</v>
      </c>
      <c r="F88" s="13" t="s">
        <v>3083</v>
      </c>
    </row>
    <row r="89" spans="1:6" x14ac:dyDescent="0.2">
      <c r="C89" s="23"/>
      <c r="D89" s="23"/>
      <c r="E89" s="23"/>
    </row>
    <row r="90" spans="1:6" x14ac:dyDescent="0.2">
      <c r="A90" s="1" t="s">
        <v>693</v>
      </c>
      <c r="C90" s="44">
        <f>(100000-0)/10</f>
        <v>10000</v>
      </c>
      <c r="D90" s="44">
        <f>C90</f>
        <v>10000</v>
      </c>
      <c r="E90" s="44">
        <f>D90</f>
        <v>10000</v>
      </c>
      <c r="F90" s="1" t="s">
        <v>3944</v>
      </c>
    </row>
    <row r="91" spans="1:6" x14ac:dyDescent="0.2">
      <c r="C91" s="23"/>
      <c r="D91" s="23"/>
      <c r="E91" s="23"/>
    </row>
    <row r="92" spans="1:6" x14ac:dyDescent="0.2">
      <c r="A92" s="1" t="s">
        <v>3943</v>
      </c>
      <c r="C92" s="23"/>
      <c r="D92" s="23"/>
      <c r="E92" s="23"/>
    </row>
    <row r="94" spans="1:6" x14ac:dyDescent="0.2">
      <c r="A94" s="1" t="s">
        <v>3084</v>
      </c>
    </row>
    <row r="95" spans="1:6" x14ac:dyDescent="0.2">
      <c r="B95" s="1" t="s">
        <v>3085</v>
      </c>
    </row>
    <row r="96" spans="1:6" x14ac:dyDescent="0.2">
      <c r="B96" s="1" t="s">
        <v>3086</v>
      </c>
    </row>
    <row r="100" spans="1:9" x14ac:dyDescent="0.2">
      <c r="A100" s="34" t="s">
        <v>679</v>
      </c>
      <c r="B100" s="34"/>
      <c r="C100" s="34"/>
      <c r="D100" s="34"/>
      <c r="E100" s="34"/>
      <c r="F100" s="34"/>
      <c r="G100" s="34"/>
      <c r="H100" s="34"/>
    </row>
    <row r="102" spans="1:9" x14ac:dyDescent="0.2">
      <c r="A102" s="1" t="s">
        <v>680</v>
      </c>
    </row>
    <row r="103" spans="1:9" x14ac:dyDescent="0.2">
      <c r="A103" s="1" t="s">
        <v>681</v>
      </c>
      <c r="F103" s="1" t="s">
        <v>2532</v>
      </c>
      <c r="H103" s="442">
        <v>200000</v>
      </c>
    </row>
    <row r="104" spans="1:9" x14ac:dyDescent="0.2">
      <c r="A104" s="1" t="s">
        <v>682</v>
      </c>
      <c r="F104" s="1" t="s">
        <v>2533</v>
      </c>
      <c r="H104" s="24">
        <f>H103*(1-40%)</f>
        <v>120000</v>
      </c>
      <c r="I104" s="1" t="s">
        <v>2534</v>
      </c>
    </row>
    <row r="105" spans="1:9" x14ac:dyDescent="0.2">
      <c r="A105" s="1" t="s">
        <v>683</v>
      </c>
    </row>
    <row r="106" spans="1:9" x14ac:dyDescent="0.2">
      <c r="A106" s="1" t="s">
        <v>684</v>
      </c>
      <c r="E106" s="1">
        <v>120</v>
      </c>
    </row>
    <row r="107" spans="1:9" x14ac:dyDescent="0.2">
      <c r="A107" s="1" t="s">
        <v>685</v>
      </c>
      <c r="E107" s="1">
        <v>20</v>
      </c>
    </row>
    <row r="108" spans="1:9" x14ac:dyDescent="0.2">
      <c r="A108" s="1" t="s">
        <v>686</v>
      </c>
      <c r="E108" s="1">
        <v>15</v>
      </c>
    </row>
    <row r="109" spans="1:9" x14ac:dyDescent="0.2">
      <c r="A109" s="1" t="s">
        <v>687</v>
      </c>
      <c r="E109" s="1">
        <v>10</v>
      </c>
    </row>
    <row r="110" spans="1:9" x14ac:dyDescent="0.2">
      <c r="A110" s="1" t="s">
        <v>688</v>
      </c>
    </row>
    <row r="111" spans="1:9" x14ac:dyDescent="0.2">
      <c r="A111" s="1" t="s">
        <v>689</v>
      </c>
    </row>
    <row r="112" spans="1:9" x14ac:dyDescent="0.2">
      <c r="A112" s="1" t="s">
        <v>2536</v>
      </c>
    </row>
    <row r="113" spans="1:9" x14ac:dyDescent="0.2">
      <c r="A113" s="1" t="s">
        <v>690</v>
      </c>
    </row>
    <row r="114" spans="1:9" x14ac:dyDescent="0.2">
      <c r="A114" s="1" t="s">
        <v>2535</v>
      </c>
    </row>
    <row r="115" spans="1:9" x14ac:dyDescent="0.2">
      <c r="A115" s="1" t="s">
        <v>691</v>
      </c>
    </row>
    <row r="116" spans="1:9" x14ac:dyDescent="0.2">
      <c r="A116" s="1" t="s">
        <v>2531</v>
      </c>
    </row>
    <row r="118" spans="1:9" x14ac:dyDescent="0.2">
      <c r="A118" s="1" t="s">
        <v>692</v>
      </c>
      <c r="F118" s="275" t="s">
        <v>3945</v>
      </c>
    </row>
    <row r="119" spans="1:9" x14ac:dyDescent="0.2">
      <c r="F119" s="525" t="s">
        <v>720</v>
      </c>
      <c r="G119" s="13" t="s">
        <v>3088</v>
      </c>
    </row>
    <row r="120" spans="1:9" x14ac:dyDescent="0.2">
      <c r="B120" s="440">
        <v>41639</v>
      </c>
      <c r="C120" s="440">
        <v>42004</v>
      </c>
      <c r="D120" s="440">
        <v>42369</v>
      </c>
      <c r="E120" s="440">
        <v>42735</v>
      </c>
      <c r="F120" s="526">
        <v>42917</v>
      </c>
      <c r="G120" s="440">
        <v>43100</v>
      </c>
    </row>
    <row r="121" spans="1:9" x14ac:dyDescent="0.2">
      <c r="A121" s="1" t="s">
        <v>694</v>
      </c>
      <c r="B121" s="256">
        <f>120000+20000+15000+10000</f>
        <v>165000</v>
      </c>
      <c r="C121" s="256">
        <f>B121</f>
        <v>165000</v>
      </c>
      <c r="D121" s="256">
        <f>C121</f>
        <v>165000</v>
      </c>
      <c r="E121" s="256">
        <f>D121</f>
        <v>165000</v>
      </c>
      <c r="F121" s="527">
        <f>E121</f>
        <v>165000</v>
      </c>
      <c r="G121" s="256">
        <v>0</v>
      </c>
      <c r="H121" s="1" t="s">
        <v>3089</v>
      </c>
    </row>
    <row r="122" spans="1:9" ht="17" thickBot="1" x14ac:dyDescent="0.25">
      <c r="A122" s="1" t="s">
        <v>650</v>
      </c>
      <c r="B122" s="256">
        <f>-B125</f>
        <v>-10333.333333333334</v>
      </c>
      <c r="C122" s="256">
        <f>B122-C125</f>
        <v>-25833.333333333336</v>
      </c>
      <c r="D122" s="256">
        <f>C122-D125</f>
        <v>-41333.333333333336</v>
      </c>
      <c r="E122" s="256">
        <f>D122-E125</f>
        <v>-56833.333333333336</v>
      </c>
      <c r="F122" s="527">
        <f>E122-F125</f>
        <v>-64583.333333333336</v>
      </c>
      <c r="G122" s="256">
        <v>0</v>
      </c>
      <c r="H122" s="1" t="s">
        <v>3090</v>
      </c>
    </row>
    <row r="123" spans="1:9" ht="17" thickBot="1" x14ac:dyDescent="0.25">
      <c r="A123" s="1" t="s">
        <v>678</v>
      </c>
      <c r="B123" s="443">
        <f>B121+B122</f>
        <v>154666.66666666666</v>
      </c>
      <c r="C123" s="443">
        <f>C121+C122</f>
        <v>139166.66666666666</v>
      </c>
      <c r="D123" s="443">
        <f>D121+D122</f>
        <v>123666.66666666666</v>
      </c>
      <c r="E123" s="443">
        <f>E121+E122</f>
        <v>108166.66666666666</v>
      </c>
      <c r="F123" s="615">
        <f>F121+F122</f>
        <v>100416.66666666666</v>
      </c>
      <c r="G123" s="444">
        <v>0</v>
      </c>
      <c r="H123" s="1" t="s">
        <v>1380</v>
      </c>
      <c r="I123" s="1" t="s">
        <v>3087</v>
      </c>
    </row>
    <row r="124" spans="1:9" x14ac:dyDescent="0.2">
      <c r="B124" s="416"/>
      <c r="C124" s="416"/>
      <c r="D124" s="416"/>
      <c r="E124" s="416"/>
      <c r="F124" s="528"/>
      <c r="G124" s="416"/>
    </row>
    <row r="125" spans="1:9" x14ac:dyDescent="0.2">
      <c r="A125" s="1" t="s">
        <v>693</v>
      </c>
      <c r="B125" s="256">
        <f>(165000-10000)/10*8/12</f>
        <v>10333.333333333334</v>
      </c>
      <c r="C125" s="256">
        <f>(165000-10000)/10</f>
        <v>15500</v>
      </c>
      <c r="D125" s="256">
        <f>(165000-10000)/10</f>
        <v>15500</v>
      </c>
      <c r="E125" s="256">
        <f>(165000-10000)/10</f>
        <v>15500</v>
      </c>
      <c r="F125" s="527">
        <f>(165000-10000)/10*(6/12)</f>
        <v>7750</v>
      </c>
      <c r="G125" s="256">
        <f>F125</f>
        <v>7750</v>
      </c>
      <c r="H125" s="1" t="s">
        <v>3091</v>
      </c>
    </row>
    <row r="126" spans="1:9" x14ac:dyDescent="0.2">
      <c r="B126" s="416"/>
      <c r="C126" s="416"/>
      <c r="D126" s="416"/>
      <c r="E126" s="416"/>
      <c r="F126" s="416"/>
      <c r="G126" s="416"/>
    </row>
    <row r="127" spans="1:9" x14ac:dyDescent="0.2">
      <c r="A127" s="1" t="s">
        <v>729</v>
      </c>
      <c r="B127" s="129"/>
      <c r="C127" s="129"/>
      <c r="D127" s="129"/>
      <c r="E127" s="129"/>
      <c r="F127" s="129"/>
      <c r="G127" s="256">
        <f>25000-F123</f>
        <v>-75416.666666666657</v>
      </c>
      <c r="H127" s="1" t="s">
        <v>3946</v>
      </c>
    </row>
    <row r="128" spans="1:9" x14ac:dyDescent="0.2">
      <c r="H128" s="1" t="s">
        <v>3947</v>
      </c>
    </row>
    <row r="130" spans="1:8" x14ac:dyDescent="0.2">
      <c r="A130" s="6" t="s">
        <v>77</v>
      </c>
      <c r="B130" s="1" t="s">
        <v>695</v>
      </c>
    </row>
    <row r="131" spans="1:8" x14ac:dyDescent="0.2">
      <c r="B131" s="1" t="s">
        <v>696</v>
      </c>
    </row>
    <row r="132" spans="1:8" x14ac:dyDescent="0.2">
      <c r="B132" s="1" t="s">
        <v>697</v>
      </c>
    </row>
    <row r="133" spans="1:8" x14ac:dyDescent="0.2">
      <c r="B133" s="1" t="s">
        <v>698</v>
      </c>
    </row>
    <row r="136" spans="1:8" x14ac:dyDescent="0.2">
      <c r="A136" s="1" t="s">
        <v>699</v>
      </c>
      <c r="F136" s="1" t="s">
        <v>700</v>
      </c>
      <c r="H136" s="41">
        <v>200000</v>
      </c>
    </row>
    <row r="137" spans="1:8" x14ac:dyDescent="0.2">
      <c r="A137" s="1" t="s">
        <v>682</v>
      </c>
      <c r="F137" s="1" t="s">
        <v>701</v>
      </c>
      <c r="H137" s="44">
        <f>-40%*H136</f>
        <v>-80000</v>
      </c>
    </row>
    <row r="138" spans="1:8" x14ac:dyDescent="0.2">
      <c r="A138" s="1" t="s">
        <v>683</v>
      </c>
      <c r="F138" s="1" t="s">
        <v>702</v>
      </c>
      <c r="H138" s="41">
        <v>20000</v>
      </c>
    </row>
    <row r="139" spans="1:8" x14ac:dyDescent="0.2">
      <c r="A139" s="1" t="s">
        <v>684</v>
      </c>
      <c r="F139" s="1" t="s">
        <v>703</v>
      </c>
      <c r="H139" s="41">
        <v>15000</v>
      </c>
    </row>
    <row r="140" spans="1:8" ht="17" thickBot="1" x14ac:dyDescent="0.25">
      <c r="A140" s="1" t="s">
        <v>685</v>
      </c>
      <c r="F140" s="1" t="s">
        <v>704</v>
      </c>
      <c r="H140" s="41">
        <v>10000</v>
      </c>
    </row>
    <row r="141" spans="1:8" ht="17" thickBot="1" x14ac:dyDescent="0.25">
      <c r="A141" s="1" t="s">
        <v>686</v>
      </c>
      <c r="F141" s="1" t="s">
        <v>708</v>
      </c>
      <c r="H141" s="128">
        <f>SUM(H136:H140)</f>
        <v>165000</v>
      </c>
    </row>
    <row r="142" spans="1:8" x14ac:dyDescent="0.2">
      <c r="A142" s="1" t="s">
        <v>687</v>
      </c>
    </row>
    <row r="143" spans="1:8" x14ac:dyDescent="0.2">
      <c r="A143" s="1" t="s">
        <v>688</v>
      </c>
    </row>
    <row r="145" spans="1:2" x14ac:dyDescent="0.2">
      <c r="A145" s="1" t="s">
        <v>705</v>
      </c>
    </row>
    <row r="146" spans="1:2" x14ac:dyDescent="0.2">
      <c r="A146" s="1" t="s">
        <v>706</v>
      </c>
    </row>
    <row r="147" spans="1:2" x14ac:dyDescent="0.2">
      <c r="A147" s="1" t="s">
        <v>707</v>
      </c>
    </row>
    <row r="149" spans="1:2" x14ac:dyDescent="0.2">
      <c r="A149" s="6" t="s">
        <v>79</v>
      </c>
      <c r="B149" s="1" t="s">
        <v>710</v>
      </c>
    </row>
    <row r="153" spans="1:2" x14ac:dyDescent="0.2">
      <c r="B153" s="1" t="s">
        <v>2537</v>
      </c>
    </row>
    <row r="154" spans="1:2" x14ac:dyDescent="0.2">
      <c r="B154" s="1" t="s">
        <v>709</v>
      </c>
    </row>
    <row r="155" spans="1:2" x14ac:dyDescent="0.2">
      <c r="B155" s="1" t="s">
        <v>2538</v>
      </c>
    </row>
    <row r="157" spans="1:2" x14ac:dyDescent="0.2">
      <c r="A157" s="1" t="s">
        <v>711</v>
      </c>
    </row>
    <row r="158" spans="1:2" x14ac:dyDescent="0.2">
      <c r="A158" s="1" t="s">
        <v>689</v>
      </c>
    </row>
    <row r="159" spans="1:2" x14ac:dyDescent="0.2">
      <c r="A159" s="1" t="s">
        <v>712</v>
      </c>
    </row>
    <row r="160" spans="1:2" x14ac:dyDescent="0.2">
      <c r="A160" s="1" t="s">
        <v>713</v>
      </c>
    </row>
    <row r="164" spans="1:2" x14ac:dyDescent="0.2">
      <c r="A164" s="1" t="s">
        <v>2539</v>
      </c>
    </row>
    <row r="169" spans="1:2" x14ac:dyDescent="0.2">
      <c r="A169" s="1" t="s">
        <v>714</v>
      </c>
      <c r="B169" s="1" t="s">
        <v>715</v>
      </c>
    </row>
    <row r="171" spans="1:2" x14ac:dyDescent="0.2">
      <c r="B171" s="130" t="s">
        <v>716</v>
      </c>
    </row>
    <row r="172" spans="1:2" x14ac:dyDescent="0.2">
      <c r="B172" s="130" t="s">
        <v>690</v>
      </c>
    </row>
    <row r="173" spans="1:2" x14ac:dyDescent="0.2">
      <c r="B173" s="130" t="s">
        <v>717</v>
      </c>
    </row>
    <row r="174" spans="1:2" x14ac:dyDescent="0.2">
      <c r="B174" s="130" t="s">
        <v>718</v>
      </c>
    </row>
    <row r="175" spans="1:2" x14ac:dyDescent="0.2">
      <c r="B175" s="1" t="s">
        <v>719</v>
      </c>
    </row>
    <row r="179" spans="2:5" x14ac:dyDescent="0.2">
      <c r="B179" s="2" t="s">
        <v>721</v>
      </c>
    </row>
    <row r="180" spans="2:5" x14ac:dyDescent="0.2">
      <c r="B180" s="1" t="s">
        <v>722</v>
      </c>
    </row>
    <row r="181" spans="2:5" x14ac:dyDescent="0.2">
      <c r="B181" s="1" t="s">
        <v>723</v>
      </c>
    </row>
    <row r="183" spans="2:5" x14ac:dyDescent="0.2">
      <c r="B183" s="1" t="s">
        <v>724</v>
      </c>
      <c r="E183" s="24">
        <v>25000</v>
      </c>
    </row>
    <row r="184" spans="2:5" ht="17" thickBot="1" x14ac:dyDescent="0.25">
      <c r="B184" s="1" t="s">
        <v>725</v>
      </c>
      <c r="E184" s="23">
        <f>-F123</f>
        <v>-100416.66666666666</v>
      </c>
    </row>
    <row r="185" spans="2:5" ht="17" thickBot="1" x14ac:dyDescent="0.25">
      <c r="B185" s="1" t="s">
        <v>726</v>
      </c>
      <c r="E185" s="131">
        <f>E183+E184</f>
        <v>-75416.666666666657</v>
      </c>
    </row>
    <row r="187" spans="2:5" x14ac:dyDescent="0.2">
      <c r="B187" s="1" t="s">
        <v>727</v>
      </c>
    </row>
    <row r="188" spans="2:5" x14ac:dyDescent="0.2">
      <c r="B188" s="1" t="s">
        <v>728</v>
      </c>
    </row>
    <row r="190" spans="2:5" x14ac:dyDescent="0.2">
      <c r="B190" s="2" t="s">
        <v>730</v>
      </c>
    </row>
    <row r="191" spans="2:5" x14ac:dyDescent="0.2">
      <c r="B191" s="1" t="s">
        <v>731</v>
      </c>
    </row>
    <row r="192" spans="2:5" x14ac:dyDescent="0.2">
      <c r="B192" s="1" t="s">
        <v>732</v>
      </c>
    </row>
    <row r="194" spans="1:11" x14ac:dyDescent="0.2">
      <c r="A194" s="34" t="s">
        <v>733</v>
      </c>
      <c r="B194" s="34"/>
      <c r="C194" s="34"/>
      <c r="D194" s="34"/>
      <c r="E194" s="34"/>
      <c r="F194" s="34"/>
      <c r="G194" s="34"/>
      <c r="H194" s="34"/>
    </row>
    <row r="198" spans="1:11" x14ac:dyDescent="0.2">
      <c r="J198" s="529" t="s">
        <v>720</v>
      </c>
      <c r="K198" s="1" t="s">
        <v>2628</v>
      </c>
    </row>
    <row r="199" spans="1:11" x14ac:dyDescent="0.2">
      <c r="H199" s="86">
        <v>42004</v>
      </c>
      <c r="I199" s="86">
        <v>42369</v>
      </c>
      <c r="J199" s="530">
        <v>42644</v>
      </c>
      <c r="K199" s="86">
        <v>42735</v>
      </c>
    </row>
    <row r="200" spans="1:11" x14ac:dyDescent="0.2">
      <c r="G200" s="1" t="s">
        <v>694</v>
      </c>
      <c r="H200" s="44">
        <f>4199+301</f>
        <v>4500</v>
      </c>
      <c r="I200" s="44">
        <f>H200</f>
        <v>4500</v>
      </c>
      <c r="J200" s="531">
        <f>I200</f>
        <v>4500</v>
      </c>
      <c r="K200" s="44">
        <v>0</v>
      </c>
    </row>
    <row r="201" spans="1:11" ht="17" thickBot="1" x14ac:dyDescent="0.25">
      <c r="G201" s="1" t="s">
        <v>650</v>
      </c>
      <c r="H201" s="44">
        <f>-H204</f>
        <v>-550</v>
      </c>
      <c r="I201" s="44">
        <f>H201-I204</f>
        <v>-1150</v>
      </c>
      <c r="J201" s="531">
        <f>I201-J204</f>
        <v>-1600</v>
      </c>
      <c r="K201" s="44">
        <v>0</v>
      </c>
    </row>
    <row r="202" spans="1:11" ht="17" thickBot="1" x14ac:dyDescent="0.25">
      <c r="G202" s="1" t="s">
        <v>678</v>
      </c>
      <c r="H202" s="125">
        <f>H200+H201</f>
        <v>3950</v>
      </c>
      <c r="I202" s="126">
        <f>I200+I201</f>
        <v>3350</v>
      </c>
      <c r="J202" s="126">
        <f>J200+J201</f>
        <v>2900</v>
      </c>
      <c r="K202" s="127">
        <v>0</v>
      </c>
    </row>
    <row r="203" spans="1:11" x14ac:dyDescent="0.2">
      <c r="H203" s="23"/>
      <c r="I203" s="23"/>
      <c r="J203" s="532"/>
      <c r="K203" s="23"/>
    </row>
    <row r="204" spans="1:11" x14ac:dyDescent="0.2">
      <c r="G204" s="1" t="s">
        <v>693</v>
      </c>
      <c r="H204" s="44">
        <f>(4500-1500)/5*11/12</f>
        <v>550</v>
      </c>
      <c r="I204" s="44">
        <f>(4500-1500)/5</f>
        <v>600</v>
      </c>
      <c r="J204" s="531">
        <f>(4500-1500)/5*9/12</f>
        <v>450</v>
      </c>
      <c r="K204" s="44">
        <v>450</v>
      </c>
    </row>
    <row r="205" spans="1:11" x14ac:dyDescent="0.2">
      <c r="H205" s="23"/>
      <c r="I205" s="23"/>
      <c r="J205" s="532"/>
      <c r="K205" s="23"/>
    </row>
    <row r="206" spans="1:11" x14ac:dyDescent="0.2">
      <c r="A206" s="1" t="s">
        <v>734</v>
      </c>
      <c r="G206" s="1" t="s">
        <v>741</v>
      </c>
      <c r="H206" s="129"/>
      <c r="I206" s="129"/>
      <c r="J206" s="129"/>
      <c r="K206" s="44">
        <f>3200-J202</f>
        <v>300</v>
      </c>
    </row>
    <row r="207" spans="1:11" x14ac:dyDescent="0.2">
      <c r="A207" s="1" t="s">
        <v>735</v>
      </c>
    </row>
    <row r="208" spans="1:11" x14ac:dyDescent="0.2">
      <c r="A208" s="1" t="s">
        <v>736</v>
      </c>
    </row>
    <row r="209" spans="1:12" x14ac:dyDescent="0.2">
      <c r="A209" s="1" t="s">
        <v>737</v>
      </c>
    </row>
    <row r="210" spans="1:12" x14ac:dyDescent="0.2">
      <c r="A210" s="1" t="s">
        <v>738</v>
      </c>
    </row>
    <row r="211" spans="1:12" ht="17" thickBot="1" x14ac:dyDescent="0.25">
      <c r="A211" s="1" t="s">
        <v>739</v>
      </c>
    </row>
    <row r="212" spans="1:12" x14ac:dyDescent="0.2">
      <c r="H212" s="18" t="s">
        <v>3950</v>
      </c>
      <c r="I212" s="100"/>
      <c r="J212" s="100"/>
      <c r="K212" s="100"/>
      <c r="L212" s="19"/>
    </row>
    <row r="213" spans="1:12" x14ac:dyDescent="0.2">
      <c r="A213" s="1" t="s">
        <v>740</v>
      </c>
      <c r="H213" s="106" t="s">
        <v>3948</v>
      </c>
      <c r="L213" s="107"/>
    </row>
    <row r="214" spans="1:12" x14ac:dyDescent="0.2">
      <c r="D214" s="6" t="s">
        <v>720</v>
      </c>
      <c r="H214" s="106" t="s">
        <v>3949</v>
      </c>
      <c r="L214" s="107"/>
    </row>
    <row r="215" spans="1:12" x14ac:dyDescent="0.2">
      <c r="B215" s="86">
        <v>42004</v>
      </c>
      <c r="C215" s="86">
        <v>42369</v>
      </c>
      <c r="D215" s="86">
        <v>42644</v>
      </c>
      <c r="E215" s="86">
        <v>42735</v>
      </c>
      <c r="H215" s="106" t="s">
        <v>3951</v>
      </c>
      <c r="L215" s="107"/>
    </row>
    <row r="216" spans="1:12" x14ac:dyDescent="0.2">
      <c r="A216" s="1" t="s">
        <v>694</v>
      </c>
      <c r="B216" s="44"/>
      <c r="C216" s="44"/>
      <c r="D216" s="44"/>
      <c r="E216" s="44"/>
      <c r="H216" s="106" t="s">
        <v>3952</v>
      </c>
      <c r="L216" s="107"/>
    </row>
    <row r="217" spans="1:12" ht="17" thickBot="1" x14ac:dyDescent="0.25">
      <c r="A217" s="1" t="s">
        <v>650</v>
      </c>
      <c r="B217" s="44"/>
      <c r="C217" s="44"/>
      <c r="D217" s="44"/>
      <c r="E217" s="44"/>
      <c r="H217" s="106" t="s">
        <v>3953</v>
      </c>
      <c r="L217" s="107"/>
    </row>
    <row r="218" spans="1:12" ht="17" thickBot="1" x14ac:dyDescent="0.25">
      <c r="A218" s="1" t="s">
        <v>678</v>
      </c>
      <c r="B218" s="125"/>
      <c r="C218" s="126"/>
      <c r="D218" s="126"/>
      <c r="E218" s="127"/>
      <c r="H218" s="106" t="s">
        <v>3956</v>
      </c>
      <c r="L218" s="107"/>
    </row>
    <row r="219" spans="1:12" x14ac:dyDescent="0.2">
      <c r="B219" s="23"/>
      <c r="C219" s="23"/>
      <c r="D219" s="23"/>
      <c r="E219" s="23"/>
      <c r="H219" s="106" t="s">
        <v>3954</v>
      </c>
      <c r="L219" s="107"/>
    </row>
    <row r="220" spans="1:12" ht="17" thickBot="1" x14ac:dyDescent="0.25">
      <c r="A220" s="1" t="s">
        <v>693</v>
      </c>
      <c r="B220" s="44"/>
      <c r="C220" s="44"/>
      <c r="D220" s="44"/>
      <c r="E220" s="44"/>
      <c r="H220" s="20" t="s">
        <v>3955</v>
      </c>
      <c r="I220" s="103"/>
      <c r="J220" s="103"/>
      <c r="K220" s="103"/>
      <c r="L220" s="21"/>
    </row>
    <row r="221" spans="1:12" x14ac:dyDescent="0.2">
      <c r="B221" s="23"/>
      <c r="C221" s="23"/>
      <c r="D221" s="23"/>
      <c r="E221" s="23"/>
    </row>
    <row r="222" spans="1:12" x14ac:dyDescent="0.2">
      <c r="A222" s="1" t="s">
        <v>741</v>
      </c>
      <c r="B222" s="129"/>
      <c r="C222" s="129"/>
      <c r="D222" s="129"/>
      <c r="E222" s="6"/>
    </row>
    <row r="224" spans="1:12" x14ac:dyDescent="0.2">
      <c r="A224" s="2" t="s">
        <v>742</v>
      </c>
    </row>
    <row r="225" spans="1:1" x14ac:dyDescent="0.2">
      <c r="A225" s="1" t="s">
        <v>743</v>
      </c>
    </row>
    <row r="226" spans="1:1" x14ac:dyDescent="0.2">
      <c r="A226" s="1" t="s">
        <v>744</v>
      </c>
    </row>
    <row r="227" spans="1:1" x14ac:dyDescent="0.2">
      <c r="A227" s="1" t="s">
        <v>745</v>
      </c>
    </row>
    <row r="228" spans="1:1" x14ac:dyDescent="0.2">
      <c r="A228" s="1" t="s">
        <v>746</v>
      </c>
    </row>
    <row r="229" spans="1:1" x14ac:dyDescent="0.2">
      <c r="A229" s="1" t="s">
        <v>747</v>
      </c>
    </row>
    <row r="231" spans="1:1" x14ac:dyDescent="0.2">
      <c r="A231" s="1" t="s">
        <v>748</v>
      </c>
    </row>
    <row r="232" spans="1:1" x14ac:dyDescent="0.2">
      <c r="A232" s="1" t="s">
        <v>749</v>
      </c>
    </row>
    <row r="233" spans="1:1" x14ac:dyDescent="0.2">
      <c r="A233" s="1" t="s">
        <v>750</v>
      </c>
    </row>
    <row r="236" spans="1:1" x14ac:dyDescent="0.2">
      <c r="A236" s="1" t="s">
        <v>751</v>
      </c>
    </row>
    <row r="237" spans="1:1" x14ac:dyDescent="0.2">
      <c r="A237" s="1" t="s">
        <v>752</v>
      </c>
    </row>
    <row r="241" spans="1:6" x14ac:dyDescent="0.2">
      <c r="A241" s="1" t="s">
        <v>753</v>
      </c>
    </row>
    <row r="245" spans="1:6" x14ac:dyDescent="0.2">
      <c r="A245" s="1" t="s">
        <v>754</v>
      </c>
    </row>
    <row r="246" spans="1:6" x14ac:dyDescent="0.2">
      <c r="A246" s="1" t="s">
        <v>755</v>
      </c>
      <c r="F246" s="1" t="s">
        <v>756</v>
      </c>
    </row>
    <row r="248" spans="1:6" x14ac:dyDescent="0.2">
      <c r="A248" s="1" t="s">
        <v>757</v>
      </c>
    </row>
    <row r="249" spans="1:6" x14ac:dyDescent="0.2">
      <c r="A249" s="1" t="s">
        <v>758</v>
      </c>
    </row>
    <row r="251" spans="1:6" x14ac:dyDescent="0.2">
      <c r="C251" s="1" t="s">
        <v>724</v>
      </c>
      <c r="E251" s="24">
        <v>3200</v>
      </c>
    </row>
    <row r="252" spans="1:6" ht="17" thickBot="1" x14ac:dyDescent="0.25">
      <c r="C252" s="1" t="s">
        <v>678</v>
      </c>
      <c r="E252" s="24">
        <v>2900</v>
      </c>
    </row>
    <row r="253" spans="1:6" ht="17" thickBot="1" x14ac:dyDescent="0.25">
      <c r="C253" s="1" t="s">
        <v>759</v>
      </c>
      <c r="E253" s="26">
        <f>E251-E252</f>
        <v>300</v>
      </c>
    </row>
    <row r="255" spans="1:6" x14ac:dyDescent="0.2">
      <c r="A255" s="1" t="s">
        <v>760</v>
      </c>
    </row>
    <row r="265" spans="1:8" x14ac:dyDescent="0.2">
      <c r="A265" s="132" t="s">
        <v>2541</v>
      </c>
      <c r="B265" s="132"/>
      <c r="C265" s="132"/>
      <c r="D265" s="132"/>
      <c r="E265" s="132"/>
      <c r="F265" s="132" t="s">
        <v>2540</v>
      </c>
      <c r="G265" s="132"/>
      <c r="H265" s="132"/>
    </row>
    <row r="266" spans="1:8" x14ac:dyDescent="0.2">
      <c r="A266" s="1" t="s">
        <v>768</v>
      </c>
    </row>
    <row r="267" spans="1:8" x14ac:dyDescent="0.2">
      <c r="A267" s="1" t="s">
        <v>1903</v>
      </c>
    </row>
    <row r="268" spans="1:8" x14ac:dyDescent="0.2">
      <c r="A268" s="1" t="s">
        <v>769</v>
      </c>
    </row>
    <row r="269" spans="1:8" x14ac:dyDescent="0.2">
      <c r="A269" s="1" t="s">
        <v>770</v>
      </c>
    </row>
    <row r="270" spans="1:8" x14ac:dyDescent="0.2">
      <c r="A270" s="1" t="s">
        <v>771</v>
      </c>
    </row>
    <row r="271" spans="1:8" x14ac:dyDescent="0.2">
      <c r="A271" s="1" t="s">
        <v>772</v>
      </c>
    </row>
    <row r="272" spans="1:8" x14ac:dyDescent="0.2">
      <c r="A272" s="1" t="s">
        <v>773</v>
      </c>
    </row>
    <row r="274" spans="1:8" x14ac:dyDescent="0.2">
      <c r="A274" s="2" t="s">
        <v>774</v>
      </c>
    </row>
    <row r="275" spans="1:8" x14ac:dyDescent="0.2">
      <c r="A275" s="2" t="s">
        <v>775</v>
      </c>
    </row>
    <row r="276" spans="1:8" x14ac:dyDescent="0.2">
      <c r="A276" s="2"/>
    </row>
    <row r="277" spans="1:8" x14ac:dyDescent="0.2">
      <c r="A277" s="2"/>
      <c r="H277" s="6" t="s">
        <v>789</v>
      </c>
    </row>
    <row r="278" spans="1:8" x14ac:dyDescent="0.2">
      <c r="A278" s="2"/>
      <c r="H278" s="6" t="s">
        <v>790</v>
      </c>
    </row>
    <row r="279" spans="1:8" x14ac:dyDescent="0.2">
      <c r="D279" s="6" t="s">
        <v>777</v>
      </c>
      <c r="E279" s="6" t="s">
        <v>777</v>
      </c>
      <c r="F279" s="6" t="s">
        <v>777</v>
      </c>
      <c r="G279" s="136" t="s">
        <v>778</v>
      </c>
      <c r="H279" s="6" t="s">
        <v>777</v>
      </c>
    </row>
    <row r="280" spans="1:8" x14ac:dyDescent="0.2">
      <c r="D280" s="86">
        <v>43100</v>
      </c>
      <c r="E280" s="86">
        <v>43465</v>
      </c>
      <c r="F280" s="86">
        <v>43830</v>
      </c>
      <c r="G280" s="137">
        <v>44044</v>
      </c>
      <c r="H280" s="86">
        <v>44196</v>
      </c>
    </row>
    <row r="281" spans="1:8" x14ac:dyDescent="0.2">
      <c r="A281" s="1" t="s">
        <v>779</v>
      </c>
      <c r="B281" s="1" t="s">
        <v>677</v>
      </c>
      <c r="D281" s="44">
        <f>4000+200</f>
        <v>4200</v>
      </c>
      <c r="E281" s="44">
        <f>D281</f>
        <v>4200</v>
      </c>
      <c r="F281" s="44">
        <f>E281</f>
        <v>4200</v>
      </c>
      <c r="G281" s="138">
        <f>F281</f>
        <v>4200</v>
      </c>
      <c r="H281" s="44">
        <v>0</v>
      </c>
    </row>
    <row r="282" spans="1:8" x14ac:dyDescent="0.2">
      <c r="A282" s="1" t="s">
        <v>781</v>
      </c>
      <c r="B282" s="1" t="s">
        <v>650</v>
      </c>
      <c r="D282" s="44">
        <f>-D285</f>
        <v>-500</v>
      </c>
      <c r="E282" s="44">
        <f>D282-E285</f>
        <v>-1100</v>
      </c>
      <c r="F282" s="44">
        <f>E282-F285</f>
        <v>-1700</v>
      </c>
      <c r="G282" s="138">
        <f>F282-G285</f>
        <v>-2050</v>
      </c>
      <c r="H282" s="44">
        <v>0</v>
      </c>
    </row>
    <row r="283" spans="1:8" x14ac:dyDescent="0.2">
      <c r="A283" s="1" t="s">
        <v>782</v>
      </c>
      <c r="B283" s="1" t="s">
        <v>776</v>
      </c>
      <c r="D283" s="134">
        <f>D281+D282</f>
        <v>3700</v>
      </c>
      <c r="E283" s="134">
        <f>E281+E282</f>
        <v>3100</v>
      </c>
      <c r="F283" s="134">
        <f>F281+F282</f>
        <v>2500</v>
      </c>
      <c r="G283" s="139">
        <f>G281+G282</f>
        <v>2150</v>
      </c>
      <c r="H283" s="134">
        <v>0</v>
      </c>
    </row>
    <row r="284" spans="1:8" x14ac:dyDescent="0.2">
      <c r="G284" s="119"/>
    </row>
    <row r="285" spans="1:8" x14ac:dyDescent="0.2">
      <c r="A285" s="1" t="s">
        <v>780</v>
      </c>
      <c r="B285" s="1" t="s">
        <v>693</v>
      </c>
      <c r="D285" s="6">
        <f>E307</f>
        <v>500</v>
      </c>
      <c r="E285" s="6">
        <v>600</v>
      </c>
      <c r="F285" s="6">
        <v>600</v>
      </c>
      <c r="G285" s="136">
        <v>350</v>
      </c>
      <c r="H285" s="6">
        <f>G285</f>
        <v>350</v>
      </c>
    </row>
    <row r="286" spans="1:8" x14ac:dyDescent="0.2">
      <c r="G286" s="119"/>
    </row>
    <row r="287" spans="1:8" x14ac:dyDescent="0.2">
      <c r="A287" s="1" t="s">
        <v>783</v>
      </c>
      <c r="B287" s="1" t="s">
        <v>729</v>
      </c>
      <c r="G287" s="119"/>
      <c r="H287" s="44">
        <f>E318</f>
        <v>-250</v>
      </c>
    </row>
    <row r="289" spans="1:7" x14ac:dyDescent="0.2">
      <c r="A289" s="1" t="s">
        <v>784</v>
      </c>
    </row>
    <row r="290" spans="1:7" x14ac:dyDescent="0.2">
      <c r="A290" s="1" t="s">
        <v>785</v>
      </c>
    </row>
    <row r="291" spans="1:7" x14ac:dyDescent="0.2">
      <c r="A291" s="1" t="s">
        <v>787</v>
      </c>
    </row>
    <row r="292" spans="1:7" x14ac:dyDescent="0.2">
      <c r="A292" s="1" t="s">
        <v>786</v>
      </c>
    </row>
    <row r="293" spans="1:7" x14ac:dyDescent="0.2">
      <c r="A293" s="1" t="s">
        <v>788</v>
      </c>
    </row>
    <row r="295" spans="1:7" x14ac:dyDescent="0.2">
      <c r="A295" s="1" t="s">
        <v>791</v>
      </c>
    </row>
    <row r="296" spans="1:7" x14ac:dyDescent="0.2">
      <c r="A296" s="1" t="s">
        <v>792</v>
      </c>
    </row>
    <row r="297" spans="1:7" x14ac:dyDescent="0.2">
      <c r="A297" s="1" t="s">
        <v>793</v>
      </c>
      <c r="D297" s="6">
        <f>D285</f>
        <v>500</v>
      </c>
      <c r="G297" s="1" t="s">
        <v>794</v>
      </c>
    </row>
    <row r="299" spans="1:7" x14ac:dyDescent="0.2">
      <c r="A299" s="1" t="s">
        <v>795</v>
      </c>
    </row>
    <row r="300" spans="1:7" x14ac:dyDescent="0.2">
      <c r="A300" s="1" t="s">
        <v>796</v>
      </c>
    </row>
    <row r="302" spans="1:7" x14ac:dyDescent="0.2">
      <c r="A302" s="1" t="s">
        <v>797</v>
      </c>
      <c r="C302" s="87" t="s">
        <v>798</v>
      </c>
    </row>
    <row r="303" spans="1:7" x14ac:dyDescent="0.2">
      <c r="A303" s="1" t="s">
        <v>799</v>
      </c>
      <c r="C303" s="87" t="s">
        <v>800</v>
      </c>
      <c r="D303" s="1" t="s">
        <v>805</v>
      </c>
    </row>
    <row r="304" spans="1:7" x14ac:dyDescent="0.2">
      <c r="A304" s="1" t="s">
        <v>801</v>
      </c>
      <c r="C304" s="135" t="s">
        <v>802</v>
      </c>
      <c r="D304" s="1" t="s">
        <v>806</v>
      </c>
    </row>
    <row r="305" spans="1:8" x14ac:dyDescent="0.2">
      <c r="A305" s="1" t="s">
        <v>803</v>
      </c>
      <c r="C305" s="87" t="s">
        <v>804</v>
      </c>
    </row>
    <row r="307" spans="1:8" x14ac:dyDescent="0.2">
      <c r="A307" s="1" t="s">
        <v>807</v>
      </c>
      <c r="E307" s="6">
        <f>600/12*10</f>
        <v>500</v>
      </c>
      <c r="G307" s="1" t="s">
        <v>808</v>
      </c>
    </row>
    <row r="308" spans="1:8" x14ac:dyDescent="0.2">
      <c r="A308" s="1" t="s">
        <v>809</v>
      </c>
      <c r="E308" s="6">
        <v>600</v>
      </c>
    </row>
    <row r="309" spans="1:8" x14ac:dyDescent="0.2">
      <c r="A309" s="1" t="s">
        <v>810</v>
      </c>
      <c r="E309" s="6">
        <v>600</v>
      </c>
    </row>
    <row r="310" spans="1:8" x14ac:dyDescent="0.2">
      <c r="A310" s="1" t="s">
        <v>811</v>
      </c>
      <c r="E310" s="6">
        <f>600/12*7</f>
        <v>350</v>
      </c>
      <c r="G310" s="1" t="s">
        <v>812</v>
      </c>
    </row>
    <row r="312" spans="1:8" x14ac:dyDescent="0.2">
      <c r="A312" s="1" t="s">
        <v>813</v>
      </c>
    </row>
    <row r="313" spans="1:8" x14ac:dyDescent="0.2">
      <c r="A313" s="1" t="s">
        <v>814</v>
      </c>
    </row>
    <row r="314" spans="1:8" x14ac:dyDescent="0.2">
      <c r="A314" s="1" t="s">
        <v>815</v>
      </c>
    </row>
    <row r="316" spans="1:8" x14ac:dyDescent="0.2">
      <c r="C316" s="1" t="s">
        <v>817</v>
      </c>
      <c r="E316" s="44">
        <v>1900</v>
      </c>
    </row>
    <row r="317" spans="1:8" x14ac:dyDescent="0.2">
      <c r="C317" s="1" t="s">
        <v>816</v>
      </c>
      <c r="D317" s="23"/>
      <c r="E317" s="44">
        <v>2150</v>
      </c>
    </row>
    <row r="318" spans="1:8" x14ac:dyDescent="0.2">
      <c r="C318" s="1" t="s">
        <v>818</v>
      </c>
      <c r="E318" s="134">
        <f>E316-E317</f>
        <v>-250</v>
      </c>
      <c r="G318" s="1" t="s">
        <v>819</v>
      </c>
    </row>
    <row r="320" spans="1:8" x14ac:dyDescent="0.2">
      <c r="A320" s="132" t="s">
        <v>2542</v>
      </c>
      <c r="B320" s="132"/>
      <c r="C320" s="132"/>
      <c r="D320" s="132"/>
      <c r="E320" s="132"/>
      <c r="F320" s="132" t="s">
        <v>2540</v>
      </c>
      <c r="G320" s="132"/>
      <c r="H320" s="132"/>
    </row>
    <row r="321" spans="1:6" x14ac:dyDescent="0.2">
      <c r="A321" s="1" t="s">
        <v>820</v>
      </c>
    </row>
    <row r="322" spans="1:6" x14ac:dyDescent="0.2">
      <c r="A322" s="1" t="s">
        <v>821</v>
      </c>
    </row>
    <row r="323" spans="1:6" x14ac:dyDescent="0.2">
      <c r="A323" s="1" t="s">
        <v>822</v>
      </c>
      <c r="C323" s="1" t="s">
        <v>823</v>
      </c>
      <c r="E323" s="1">
        <v>300</v>
      </c>
      <c r="F323" s="1" t="s">
        <v>824</v>
      </c>
    </row>
    <row r="324" spans="1:6" x14ac:dyDescent="0.2">
      <c r="C324" s="855" t="s">
        <v>825</v>
      </c>
      <c r="D324" s="855"/>
      <c r="E324" s="1">
        <v>150</v>
      </c>
      <c r="F324" s="1" t="s">
        <v>824</v>
      </c>
    </row>
    <row r="325" spans="1:6" x14ac:dyDescent="0.2">
      <c r="C325" s="87" t="s">
        <v>826</v>
      </c>
      <c r="D325" s="87"/>
      <c r="E325" s="24">
        <v>1000</v>
      </c>
      <c r="F325" s="1" t="s">
        <v>824</v>
      </c>
    </row>
    <row r="326" spans="1:6" x14ac:dyDescent="0.2">
      <c r="C326" s="87" t="s">
        <v>827</v>
      </c>
      <c r="D326" s="87"/>
      <c r="E326" s="1">
        <v>200</v>
      </c>
      <c r="F326" s="1" t="s">
        <v>824</v>
      </c>
    </row>
    <row r="327" spans="1:6" x14ac:dyDescent="0.2">
      <c r="C327" s="87" t="s">
        <v>828</v>
      </c>
      <c r="D327" s="87"/>
      <c r="E327" s="1">
        <v>140</v>
      </c>
      <c r="F327" s="1" t="s">
        <v>824</v>
      </c>
    </row>
    <row r="329" spans="1:6" x14ac:dyDescent="0.2">
      <c r="A329" s="1" t="s">
        <v>829</v>
      </c>
    </row>
    <row r="330" spans="1:6" x14ac:dyDescent="0.2">
      <c r="A330" s="1" t="s">
        <v>830</v>
      </c>
    </row>
    <row r="331" spans="1:6" x14ac:dyDescent="0.2">
      <c r="A331" s="1" t="s">
        <v>831</v>
      </c>
    </row>
    <row r="332" spans="1:6" x14ac:dyDescent="0.2">
      <c r="A332" s="1" t="s">
        <v>832</v>
      </c>
    </row>
    <row r="333" spans="1:6" x14ac:dyDescent="0.2">
      <c r="A333" s="1" t="s">
        <v>833</v>
      </c>
    </row>
    <row r="335" spans="1:6" x14ac:dyDescent="0.2">
      <c r="A335" s="2" t="s">
        <v>774</v>
      </c>
    </row>
    <row r="336" spans="1:6" x14ac:dyDescent="0.2">
      <c r="A336" s="2" t="s">
        <v>775</v>
      </c>
    </row>
    <row r="338" spans="1:8" x14ac:dyDescent="0.2">
      <c r="A338" s="2"/>
      <c r="H338" s="6" t="s">
        <v>789</v>
      </c>
    </row>
    <row r="339" spans="1:8" x14ac:dyDescent="0.2">
      <c r="A339" s="2"/>
      <c r="H339" s="6" t="s">
        <v>790</v>
      </c>
    </row>
    <row r="340" spans="1:8" x14ac:dyDescent="0.2">
      <c r="D340" s="6" t="s">
        <v>777</v>
      </c>
      <c r="E340" s="6" t="s">
        <v>777</v>
      </c>
      <c r="F340" s="6" t="s">
        <v>777</v>
      </c>
      <c r="G340" s="136" t="s">
        <v>778</v>
      </c>
      <c r="H340" s="6" t="s">
        <v>777</v>
      </c>
    </row>
    <row r="341" spans="1:8" x14ac:dyDescent="0.2">
      <c r="D341" s="86">
        <v>43100</v>
      </c>
      <c r="E341" s="86">
        <v>43465</v>
      </c>
      <c r="F341" s="86">
        <v>43830</v>
      </c>
      <c r="G341" s="137">
        <v>43831</v>
      </c>
      <c r="H341" s="86">
        <v>44196</v>
      </c>
    </row>
    <row r="342" spans="1:8" x14ac:dyDescent="0.2">
      <c r="A342" s="1" t="s">
        <v>779</v>
      </c>
      <c r="B342" s="1" t="s">
        <v>677</v>
      </c>
      <c r="D342" s="44">
        <f>1000+300+150+50</f>
        <v>1500</v>
      </c>
      <c r="E342" s="44">
        <f>D342</f>
        <v>1500</v>
      </c>
      <c r="F342" s="44">
        <f>E342</f>
        <v>1500</v>
      </c>
      <c r="G342" s="138">
        <f>F342</f>
        <v>1500</v>
      </c>
      <c r="H342" s="44">
        <v>0</v>
      </c>
    </row>
    <row r="343" spans="1:8" x14ac:dyDescent="0.2">
      <c r="A343" s="1" t="s">
        <v>781</v>
      </c>
      <c r="B343" s="1" t="s">
        <v>650</v>
      </c>
      <c r="D343" s="44">
        <f>-D346</f>
        <v>-333.33333333333331</v>
      </c>
      <c r="E343" s="44">
        <f>D343-E346</f>
        <v>-833.33333333333326</v>
      </c>
      <c r="F343" s="44">
        <f>E343-F346</f>
        <v>-1333.3333333333333</v>
      </c>
      <c r="G343" s="138">
        <f>F343-G346</f>
        <v>-1333.3333333333333</v>
      </c>
      <c r="H343" s="44">
        <v>0</v>
      </c>
    </row>
    <row r="344" spans="1:8" x14ac:dyDescent="0.2">
      <c r="A344" s="1" t="s">
        <v>782</v>
      </c>
      <c r="B344" s="1" t="s">
        <v>776</v>
      </c>
      <c r="D344" s="134">
        <f>D342+D343</f>
        <v>1166.6666666666667</v>
      </c>
      <c r="E344" s="134">
        <f>E342+E343</f>
        <v>666.66666666666674</v>
      </c>
      <c r="F344" s="134">
        <f>F342+F343</f>
        <v>166.66666666666674</v>
      </c>
      <c r="G344" s="139">
        <f>G342+G343</f>
        <v>166.66666666666674</v>
      </c>
      <c r="H344" s="134">
        <v>0</v>
      </c>
    </row>
    <row r="345" spans="1:8" x14ac:dyDescent="0.2">
      <c r="G345" s="119"/>
    </row>
    <row r="346" spans="1:8" x14ac:dyDescent="0.2">
      <c r="A346" s="1" t="s">
        <v>780</v>
      </c>
      <c r="B346" s="1" t="s">
        <v>693</v>
      </c>
      <c r="D346" s="41">
        <f>((1500-0)/3)/12*8</f>
        <v>333.33333333333331</v>
      </c>
      <c r="E346" s="6">
        <v>500</v>
      </c>
      <c r="F346" s="6">
        <v>500</v>
      </c>
      <c r="G346" s="136">
        <v>0</v>
      </c>
      <c r="H346" s="6">
        <v>0</v>
      </c>
    </row>
    <row r="347" spans="1:8" ht="17" thickBot="1" x14ac:dyDescent="0.25">
      <c r="G347" s="119"/>
    </row>
    <row r="348" spans="1:8" ht="17" thickBot="1" x14ac:dyDescent="0.25">
      <c r="A348" s="1" t="s">
        <v>783</v>
      </c>
      <c r="B348" s="1" t="s">
        <v>855</v>
      </c>
      <c r="D348" s="142"/>
      <c r="E348" s="142"/>
      <c r="F348" s="142"/>
      <c r="G348" s="142"/>
      <c r="H348" s="140">
        <f>0-G344</f>
        <v>-166.66666666666674</v>
      </c>
    </row>
    <row r="351" spans="1:8" x14ac:dyDescent="0.2">
      <c r="A351" s="2" t="s">
        <v>834</v>
      </c>
    </row>
    <row r="352" spans="1:8" x14ac:dyDescent="0.2">
      <c r="A352" s="1" t="s">
        <v>835</v>
      </c>
      <c r="D352" s="44">
        <f>D342</f>
        <v>1500</v>
      </c>
    </row>
    <row r="353" spans="1:7" x14ac:dyDescent="0.2">
      <c r="A353" s="1" t="s">
        <v>836</v>
      </c>
      <c r="D353" s="6">
        <v>0</v>
      </c>
    </row>
    <row r="354" spans="1:7" x14ac:dyDescent="0.2">
      <c r="A354" s="1" t="s">
        <v>837</v>
      </c>
      <c r="D354" s="6">
        <v>500</v>
      </c>
      <c r="F354" s="1" t="s">
        <v>838</v>
      </c>
    </row>
    <row r="356" spans="1:7" x14ac:dyDescent="0.2">
      <c r="A356" s="1" t="s">
        <v>839</v>
      </c>
      <c r="D356" s="6" t="s">
        <v>840</v>
      </c>
      <c r="E356" s="1" t="s">
        <v>841</v>
      </c>
    </row>
    <row r="357" spans="1:7" x14ac:dyDescent="0.2">
      <c r="E357" s="1" t="s">
        <v>842</v>
      </c>
    </row>
    <row r="359" spans="1:7" x14ac:dyDescent="0.2">
      <c r="A359" s="1" t="s">
        <v>843</v>
      </c>
      <c r="D359" s="6">
        <v>8</v>
      </c>
      <c r="E359" s="1" t="s">
        <v>844</v>
      </c>
    </row>
    <row r="361" spans="1:7" x14ac:dyDescent="0.2">
      <c r="A361" s="1" t="s">
        <v>845</v>
      </c>
      <c r="D361" s="141">
        <f>D354/12*D359</f>
        <v>333.33333333333331</v>
      </c>
      <c r="F361" s="1" t="s">
        <v>846</v>
      </c>
    </row>
    <row r="364" spans="1:7" x14ac:dyDescent="0.2">
      <c r="D364" s="1" t="s">
        <v>851</v>
      </c>
      <c r="F364" s="1" t="s">
        <v>847</v>
      </c>
      <c r="G364" s="1" t="s">
        <v>837</v>
      </c>
    </row>
    <row r="365" spans="1:7" x14ac:dyDescent="0.2">
      <c r="D365" s="1" t="s">
        <v>852</v>
      </c>
      <c r="F365" s="1" t="s">
        <v>848</v>
      </c>
    </row>
    <row r="366" spans="1:7" x14ac:dyDescent="0.2">
      <c r="F366" s="1" t="s">
        <v>849</v>
      </c>
    </row>
    <row r="367" spans="1:7" x14ac:dyDescent="0.2">
      <c r="F367" s="1" t="s">
        <v>850</v>
      </c>
    </row>
    <row r="369" spans="1:8" x14ac:dyDescent="0.2">
      <c r="A369" s="2" t="s">
        <v>853</v>
      </c>
    </row>
    <row r="370" spans="1:8" x14ac:dyDescent="0.2">
      <c r="A370" s="1" t="s">
        <v>854</v>
      </c>
    </row>
    <row r="373" spans="1:8" x14ac:dyDescent="0.2">
      <c r="A373" s="2" t="s">
        <v>856</v>
      </c>
    </row>
    <row r="374" spans="1:8" x14ac:dyDescent="0.2">
      <c r="A374" s="1" t="s">
        <v>857</v>
      </c>
    </row>
    <row r="375" spans="1:8" x14ac:dyDescent="0.2">
      <c r="A375" s="1" t="s">
        <v>858</v>
      </c>
    </row>
    <row r="376" spans="1:8" x14ac:dyDescent="0.2">
      <c r="A376" s="1" t="s">
        <v>859</v>
      </c>
    </row>
    <row r="378" spans="1:8" x14ac:dyDescent="0.2">
      <c r="C378" s="6" t="s">
        <v>860</v>
      </c>
      <c r="D378" s="6"/>
      <c r="E378" s="44">
        <v>0</v>
      </c>
    </row>
    <row r="379" spans="1:8" x14ac:dyDescent="0.2">
      <c r="C379" s="1" t="s">
        <v>861</v>
      </c>
      <c r="E379" s="44">
        <v>167</v>
      </c>
    </row>
    <row r="380" spans="1:8" x14ac:dyDescent="0.2">
      <c r="C380" s="1" t="s">
        <v>862</v>
      </c>
      <c r="E380" s="134">
        <f>E378-E379</f>
        <v>-167</v>
      </c>
    </row>
    <row r="382" spans="1:8" ht="23" x14ac:dyDescent="0.25">
      <c r="A382" s="445" t="s">
        <v>2544</v>
      </c>
      <c r="B382" s="445"/>
      <c r="C382" s="445"/>
      <c r="D382" s="445"/>
      <c r="E382" s="445"/>
      <c r="F382" s="445"/>
      <c r="G382" s="445"/>
      <c r="H382" s="445"/>
    </row>
    <row r="384" spans="1:8" x14ac:dyDescent="0.2">
      <c r="A384" s="1" t="s">
        <v>864</v>
      </c>
    </row>
    <row r="385" spans="1:8" x14ac:dyDescent="0.2">
      <c r="A385" s="1" t="s">
        <v>2545</v>
      </c>
    </row>
    <row r="386" spans="1:8" x14ac:dyDescent="0.2">
      <c r="A386" s="1" t="s">
        <v>2546</v>
      </c>
    </row>
    <row r="388" spans="1:8" x14ac:dyDescent="0.2">
      <c r="A388" s="1" t="s">
        <v>2547</v>
      </c>
    </row>
    <row r="389" spans="1:8" x14ac:dyDescent="0.2">
      <c r="A389" s="1" t="s">
        <v>2548</v>
      </c>
    </row>
    <row r="391" spans="1:8" x14ac:dyDescent="0.2">
      <c r="A391" s="2" t="s">
        <v>2549</v>
      </c>
      <c r="B391" s="2"/>
      <c r="C391" s="2"/>
      <c r="D391" s="2"/>
      <c r="E391" s="2"/>
      <c r="F391" s="2"/>
      <c r="G391" s="2"/>
      <c r="H391" s="2"/>
    </row>
    <row r="392" spans="1:8" x14ac:dyDescent="0.2">
      <c r="A392" s="2" t="s">
        <v>2550</v>
      </c>
      <c r="B392" s="2"/>
      <c r="C392" s="2"/>
      <c r="D392" s="2"/>
      <c r="E392" s="2"/>
      <c r="F392" s="2"/>
      <c r="G392" s="2"/>
      <c r="H392" s="2"/>
    </row>
    <row r="394" spans="1:8" x14ac:dyDescent="0.2">
      <c r="A394" s="132" t="s">
        <v>2551</v>
      </c>
      <c r="B394" s="132"/>
      <c r="C394" s="132"/>
      <c r="D394" s="132"/>
      <c r="E394" s="132"/>
      <c r="F394" s="132"/>
      <c r="G394" s="132"/>
      <c r="H394" s="132"/>
    </row>
    <row r="395" spans="1:8" x14ac:dyDescent="0.2">
      <c r="A395" s="2"/>
      <c r="B395" s="2"/>
      <c r="C395" s="2"/>
      <c r="D395" s="2"/>
      <c r="E395" s="2"/>
      <c r="F395" s="2"/>
      <c r="G395" s="2"/>
      <c r="H395" s="2"/>
    </row>
    <row r="396" spans="1:8" x14ac:dyDescent="0.2">
      <c r="A396" s="1" t="s">
        <v>2552</v>
      </c>
      <c r="B396" s="2"/>
      <c r="C396" s="2"/>
      <c r="D396" s="2"/>
      <c r="E396" s="2"/>
      <c r="F396" s="2"/>
      <c r="G396" s="2"/>
      <c r="H396" s="2"/>
    </row>
    <row r="397" spans="1:8" x14ac:dyDescent="0.2">
      <c r="A397" s="1" t="s">
        <v>2553</v>
      </c>
      <c r="B397" s="2"/>
      <c r="C397" s="2"/>
      <c r="D397" s="2"/>
      <c r="E397" s="2"/>
      <c r="F397" s="2"/>
      <c r="G397" s="2"/>
      <c r="H397" s="2"/>
    </row>
    <row r="398" spans="1:8" x14ac:dyDescent="0.2">
      <c r="A398" s="1" t="s">
        <v>2554</v>
      </c>
      <c r="B398" s="2"/>
      <c r="C398" s="2"/>
      <c r="D398" s="2"/>
      <c r="E398" s="2"/>
      <c r="F398" s="2"/>
      <c r="G398" s="2"/>
      <c r="H398" s="2"/>
    </row>
    <row r="399" spans="1:8" x14ac:dyDescent="0.2">
      <c r="A399" s="1" t="s">
        <v>2555</v>
      </c>
      <c r="B399" s="2"/>
      <c r="C399" s="2"/>
      <c r="D399" s="2"/>
      <c r="E399" s="2"/>
      <c r="F399" s="2"/>
      <c r="G399" s="2"/>
      <c r="H399" s="2"/>
    </row>
    <row r="400" spans="1:8" x14ac:dyDescent="0.2">
      <c r="A400" s="1" t="s">
        <v>2556</v>
      </c>
      <c r="B400" s="2"/>
      <c r="C400" s="2"/>
      <c r="D400" s="2"/>
      <c r="E400" s="2"/>
      <c r="F400" s="2"/>
      <c r="G400" s="2"/>
      <c r="H400" s="2"/>
    </row>
    <row r="401" spans="1:11" x14ac:dyDescent="0.2">
      <c r="A401" s="1" t="s">
        <v>2557</v>
      </c>
      <c r="B401" s="2"/>
      <c r="C401" s="2"/>
      <c r="D401" s="2"/>
      <c r="E401" s="2"/>
      <c r="F401" s="2"/>
      <c r="G401" s="2"/>
      <c r="H401" s="2"/>
    </row>
    <row r="402" spans="1:11" x14ac:dyDescent="0.2">
      <c r="A402" s="1" t="s">
        <v>2558</v>
      </c>
      <c r="B402" s="2"/>
      <c r="C402" s="2"/>
      <c r="D402" s="2"/>
      <c r="E402" s="2"/>
      <c r="F402" s="2"/>
      <c r="G402" s="2"/>
      <c r="H402" s="2"/>
    </row>
    <row r="403" spans="1:11" x14ac:dyDescent="0.2">
      <c r="A403" s="1" t="s">
        <v>2559</v>
      </c>
      <c r="B403" s="2"/>
      <c r="C403" s="2"/>
      <c r="D403" s="2"/>
      <c r="E403" s="2"/>
      <c r="F403" s="2"/>
      <c r="G403" s="2"/>
      <c r="H403" s="2"/>
    </row>
    <row r="404" spans="1:11" x14ac:dyDescent="0.2">
      <c r="A404" s="1" t="s">
        <v>2560</v>
      </c>
      <c r="B404" s="2"/>
      <c r="C404" s="2"/>
      <c r="D404" s="2"/>
      <c r="E404" s="2"/>
      <c r="F404" s="2"/>
      <c r="G404" s="2"/>
      <c r="H404" s="2"/>
    </row>
    <row r="405" spans="1:11" x14ac:dyDescent="0.2">
      <c r="A405" s="1" t="s">
        <v>2561</v>
      </c>
      <c r="B405" s="2"/>
      <c r="C405" s="2"/>
      <c r="D405" s="2"/>
      <c r="E405" s="2"/>
      <c r="F405" s="2"/>
      <c r="G405" s="2"/>
      <c r="H405" s="2"/>
    </row>
    <row r="406" spans="1:11" x14ac:dyDescent="0.2">
      <c r="A406" s="2"/>
      <c r="B406" s="2"/>
      <c r="C406" s="2"/>
      <c r="D406" s="2"/>
      <c r="E406" s="2"/>
      <c r="F406" s="2"/>
      <c r="G406" s="2"/>
      <c r="H406" s="2"/>
    </row>
    <row r="407" spans="1:11" x14ac:dyDescent="0.2">
      <c r="A407" s="2" t="s">
        <v>2562</v>
      </c>
      <c r="B407" s="2"/>
      <c r="C407" s="2"/>
      <c r="D407" s="2"/>
      <c r="E407" s="2"/>
      <c r="F407" s="2"/>
      <c r="G407" s="2"/>
      <c r="H407" s="2"/>
    </row>
    <row r="408" spans="1:11" x14ac:dyDescent="0.2">
      <c r="A408" s="2" t="s">
        <v>2563</v>
      </c>
      <c r="B408" s="2"/>
      <c r="C408" s="2"/>
      <c r="D408" s="2"/>
      <c r="E408" s="2"/>
      <c r="F408" s="2"/>
      <c r="G408" s="2"/>
      <c r="H408" s="2"/>
    </row>
    <row r="409" spans="1:11" x14ac:dyDescent="0.2">
      <c r="A409" s="2"/>
      <c r="B409" s="2"/>
      <c r="C409" s="2"/>
      <c r="D409" s="2"/>
      <c r="E409" s="2"/>
      <c r="F409" s="2"/>
      <c r="G409" s="2"/>
      <c r="H409" s="2"/>
    </row>
    <row r="410" spans="1:11" x14ac:dyDescent="0.2">
      <c r="A410" s="1" t="s">
        <v>657</v>
      </c>
      <c r="B410" s="2"/>
      <c r="C410" s="2"/>
      <c r="D410" s="2"/>
      <c r="E410" s="2"/>
      <c r="F410" s="2"/>
      <c r="G410" s="2"/>
      <c r="H410" s="2"/>
    </row>
    <row r="411" spans="1:11" x14ac:dyDescent="0.2">
      <c r="A411" s="2"/>
      <c r="B411" s="2"/>
      <c r="C411" s="2"/>
      <c r="D411" s="2"/>
      <c r="E411" s="2"/>
      <c r="F411" s="2"/>
      <c r="G411" s="2"/>
      <c r="H411" s="2"/>
    </row>
    <row r="412" spans="1:11" x14ac:dyDescent="0.2">
      <c r="A412" s="1" t="s">
        <v>2564</v>
      </c>
      <c r="B412" s="2"/>
      <c r="C412" s="2"/>
      <c r="D412" s="2"/>
      <c r="E412" s="2"/>
      <c r="F412"/>
      <c r="G412" s="2"/>
      <c r="H412" s="2"/>
    </row>
    <row r="413" spans="1:11" x14ac:dyDescent="0.2">
      <c r="A413" s="2"/>
      <c r="B413" s="2" t="s">
        <v>2565</v>
      </c>
      <c r="C413" s="2"/>
      <c r="D413" s="2">
        <v>1690</v>
      </c>
      <c r="E413" s="2"/>
      <c r="F413" s="2"/>
      <c r="G413" s="2"/>
      <c r="H413" s="2"/>
    </row>
    <row r="414" spans="1:11" x14ac:dyDescent="0.2">
      <c r="A414" s="2"/>
      <c r="B414" s="2" t="s">
        <v>2566</v>
      </c>
      <c r="C414" s="2"/>
      <c r="D414" s="2" t="s">
        <v>2567</v>
      </c>
      <c r="E414" s="2"/>
      <c r="F414" s="2"/>
      <c r="G414" s="2"/>
      <c r="H414" s="2"/>
    </row>
    <row r="415" spans="1:11" x14ac:dyDescent="0.2">
      <c r="A415" s="2"/>
      <c r="B415" s="2" t="s">
        <v>2568</v>
      </c>
      <c r="C415" s="2"/>
      <c r="D415" s="2">
        <v>200</v>
      </c>
      <c r="E415" s="2"/>
      <c r="F415" s="2"/>
      <c r="G415" s="2"/>
      <c r="H415" s="2"/>
    </row>
    <row r="416" spans="1:11" x14ac:dyDescent="0.2">
      <c r="B416" s="1" t="s">
        <v>2569</v>
      </c>
      <c r="D416" s="52">
        <f>D413+D415</f>
        <v>1890</v>
      </c>
      <c r="I416" s="25" t="s">
        <v>3957</v>
      </c>
      <c r="J416" s="25"/>
      <c r="K416" s="25"/>
    </row>
    <row r="417" spans="1:13" x14ac:dyDescent="0.2">
      <c r="K417" s="1" t="s">
        <v>3958</v>
      </c>
    </row>
    <row r="418" spans="1:13" x14ac:dyDescent="0.2">
      <c r="B418" s="446">
        <v>44196</v>
      </c>
      <c r="C418" s="446">
        <v>44561</v>
      </c>
      <c r="D418" s="446">
        <v>44926</v>
      </c>
      <c r="E418" s="446">
        <v>45291</v>
      </c>
      <c r="I418" s="1" t="s">
        <v>3959</v>
      </c>
    </row>
    <row r="419" spans="1:13" x14ac:dyDescent="0.2">
      <c r="A419" s="1" t="s">
        <v>677</v>
      </c>
      <c r="B419" s="44">
        <f>D416</f>
        <v>1890</v>
      </c>
      <c r="C419" s="44">
        <f>B419</f>
        <v>1890</v>
      </c>
      <c r="D419" s="44">
        <f t="shared" ref="D419:E419" si="1">C419</f>
        <v>1890</v>
      </c>
      <c r="E419" s="44">
        <f t="shared" si="1"/>
        <v>1890</v>
      </c>
      <c r="I419" s="13"/>
      <c r="J419" s="13"/>
      <c r="K419" s="13" t="s">
        <v>3960</v>
      </c>
    </row>
    <row r="420" spans="1:13" x14ac:dyDescent="0.2">
      <c r="A420" s="1" t="s">
        <v>2360</v>
      </c>
      <c r="B420" s="44">
        <f>-B423</f>
        <v>-342.85714285714283</v>
      </c>
      <c r="C420" s="44">
        <f>B420-C423</f>
        <v>-628.57142857142856</v>
      </c>
      <c r="D420" s="44">
        <f t="shared" ref="D420:E420" si="2">C420-D423</f>
        <v>-857.14285714285711</v>
      </c>
      <c r="E420" s="44">
        <f t="shared" si="2"/>
        <v>-1028.5714285714284</v>
      </c>
      <c r="F420" s="1" t="s">
        <v>2570</v>
      </c>
    </row>
    <row r="421" spans="1:13" x14ac:dyDescent="0.2">
      <c r="A421" s="1" t="s">
        <v>678</v>
      </c>
      <c r="B421" s="134">
        <f>B419+B420</f>
        <v>1547.1428571428571</v>
      </c>
      <c r="C421" s="134">
        <f t="shared" ref="C421:E421" si="3">C419+C420</f>
        <v>1261.4285714285716</v>
      </c>
      <c r="D421" s="134">
        <f t="shared" si="3"/>
        <v>1032.8571428571429</v>
      </c>
      <c r="E421" s="134">
        <f t="shared" si="3"/>
        <v>861.42857142857156</v>
      </c>
      <c r="I421" s="25" t="s">
        <v>3961</v>
      </c>
      <c r="J421" s="25"/>
      <c r="K421" s="25"/>
    </row>
    <row r="422" spans="1:13" x14ac:dyDescent="0.2">
      <c r="B422" s="454"/>
      <c r="C422" s="454"/>
      <c r="D422" s="454"/>
      <c r="E422" s="454"/>
      <c r="I422" s="1" t="s">
        <v>319</v>
      </c>
      <c r="J422" s="1" t="s">
        <v>3096</v>
      </c>
      <c r="K422" s="1" t="s">
        <v>3962</v>
      </c>
    </row>
    <row r="423" spans="1:13" x14ac:dyDescent="0.2">
      <c r="A423" s="1" t="s">
        <v>693</v>
      </c>
      <c r="B423" s="617">
        <f>J430</f>
        <v>342.85714285714283</v>
      </c>
      <c r="C423" s="617">
        <f>J431</f>
        <v>285.71428571428572</v>
      </c>
      <c r="D423" s="617">
        <f>J432</f>
        <v>228.57142857142858</v>
      </c>
      <c r="E423" s="617">
        <f>J433</f>
        <v>171.42857142857142</v>
      </c>
      <c r="I423" s="1">
        <v>2020</v>
      </c>
      <c r="J423" s="13">
        <v>6</v>
      </c>
      <c r="K423" s="1" t="s">
        <v>672</v>
      </c>
    </row>
    <row r="424" spans="1:13" x14ac:dyDescent="0.2">
      <c r="B424" s="454"/>
      <c r="C424" s="454"/>
      <c r="D424" s="454"/>
      <c r="E424" s="454"/>
      <c r="I424" s="1">
        <v>2021</v>
      </c>
      <c r="J424" s="13">
        <f>J423-1</f>
        <v>5</v>
      </c>
      <c r="K424" s="1" t="s">
        <v>3965</v>
      </c>
    </row>
    <row r="425" spans="1:13" x14ac:dyDescent="0.2">
      <c r="A425" s="2" t="s">
        <v>2571</v>
      </c>
      <c r="I425" s="1">
        <v>2022</v>
      </c>
      <c r="J425" s="13">
        <f t="shared" ref="J425:J426" si="4">J424-1</f>
        <v>4</v>
      </c>
      <c r="K425" s="1" t="s">
        <v>3963</v>
      </c>
    </row>
    <row r="426" spans="1:13" x14ac:dyDescent="0.2">
      <c r="I426" s="1">
        <v>2023</v>
      </c>
      <c r="J426" s="13">
        <f t="shared" si="4"/>
        <v>3</v>
      </c>
      <c r="K426" s="1" t="s">
        <v>3964</v>
      </c>
    </row>
    <row r="427" spans="1:13" x14ac:dyDescent="0.2">
      <c r="A427" s="447" t="s">
        <v>2572</v>
      </c>
      <c r="B427" s="447"/>
      <c r="C427" s="447"/>
      <c r="D427" s="447"/>
    </row>
    <row r="428" spans="1:13" x14ac:dyDescent="0.2">
      <c r="I428" s="25" t="s">
        <v>3966</v>
      </c>
      <c r="J428" s="25"/>
      <c r="K428" s="25"/>
      <c r="L428" s="25"/>
      <c r="M428" s="25"/>
    </row>
    <row r="429" spans="1:13" x14ac:dyDescent="0.2">
      <c r="I429" s="1" t="s">
        <v>319</v>
      </c>
      <c r="J429" s="1" t="s">
        <v>848</v>
      </c>
      <c r="K429" s="1" t="s">
        <v>3967</v>
      </c>
    </row>
    <row r="430" spans="1:13" x14ac:dyDescent="0.2">
      <c r="A430" s="1" t="s">
        <v>665</v>
      </c>
      <c r="I430" s="1">
        <v>2020</v>
      </c>
      <c r="J430" s="620">
        <f>(1890-690)*J423/21</f>
        <v>342.85714285714283</v>
      </c>
      <c r="K430" s="13"/>
      <c r="L430" s="13" t="s">
        <v>3968</v>
      </c>
    </row>
    <row r="431" spans="1:13" x14ac:dyDescent="0.2">
      <c r="A431" s="6" t="s">
        <v>2573</v>
      </c>
      <c r="B431" s="1" t="s">
        <v>2574</v>
      </c>
      <c r="I431" s="1">
        <v>2021</v>
      </c>
      <c r="J431" s="620">
        <f t="shared" ref="J431:J433" si="5">(1890-690)*J424/21</f>
        <v>285.71428571428572</v>
      </c>
      <c r="K431" s="13"/>
      <c r="L431" s="13" t="s">
        <v>3969</v>
      </c>
    </row>
    <row r="432" spans="1:13" x14ac:dyDescent="0.2">
      <c r="A432" s="6" t="s">
        <v>672</v>
      </c>
      <c r="B432" s="1" t="s">
        <v>2575</v>
      </c>
      <c r="I432" s="1">
        <v>2022</v>
      </c>
      <c r="J432" s="620">
        <f t="shared" si="5"/>
        <v>228.57142857142858</v>
      </c>
      <c r="K432" s="13"/>
      <c r="L432" s="13" t="s">
        <v>3970</v>
      </c>
    </row>
    <row r="433" spans="1:12" x14ac:dyDescent="0.2">
      <c r="A433" s="6"/>
      <c r="I433" s="1">
        <v>2023</v>
      </c>
      <c r="J433" s="620">
        <f t="shared" si="5"/>
        <v>171.42857142857142</v>
      </c>
      <c r="K433" s="13"/>
      <c r="L433" s="13" t="s">
        <v>3971</v>
      </c>
    </row>
    <row r="434" spans="1:12" x14ac:dyDescent="0.2">
      <c r="A434" s="447" t="s">
        <v>2576</v>
      </c>
      <c r="B434" s="447"/>
      <c r="C434" s="447"/>
      <c r="D434" s="447"/>
      <c r="K434" s="13"/>
      <c r="L434" s="13"/>
    </row>
    <row r="435" spans="1:12" x14ac:dyDescent="0.2">
      <c r="A435" s="1" t="s">
        <v>2582</v>
      </c>
    </row>
    <row r="436" spans="1:12" s="398" customFormat="1" x14ac:dyDescent="0.2">
      <c r="A436" s="398" t="s">
        <v>2583</v>
      </c>
    </row>
    <row r="437" spans="1:12" s="398" customFormat="1" x14ac:dyDescent="0.2"/>
    <row r="438" spans="1:12" s="398" customFormat="1" x14ac:dyDescent="0.2">
      <c r="B438" s="452">
        <v>3</v>
      </c>
      <c r="C438" s="452" t="s">
        <v>2585</v>
      </c>
      <c r="D438" s="452" t="s">
        <v>2584</v>
      </c>
      <c r="E438" s="452"/>
      <c r="F438" s="452" t="s">
        <v>2581</v>
      </c>
    </row>
    <row r="439" spans="1:12" x14ac:dyDescent="0.2">
      <c r="A439" s="398"/>
      <c r="B439" s="451" t="s">
        <v>2580</v>
      </c>
      <c r="C439" s="451" t="s">
        <v>2579</v>
      </c>
      <c r="D439" s="450" t="s">
        <v>2578</v>
      </c>
      <c r="F439" s="449" t="s">
        <v>2577</v>
      </c>
    </row>
    <row r="440" spans="1:12" x14ac:dyDescent="0.2">
      <c r="A440" s="398"/>
      <c r="B440" s="398"/>
      <c r="C440" s="398"/>
      <c r="D440" s="398"/>
    </row>
    <row r="441" spans="1:12" x14ac:dyDescent="0.2">
      <c r="A441" s="6"/>
      <c r="B441" s="120">
        <v>45291</v>
      </c>
      <c r="C441" s="120">
        <v>44926</v>
      </c>
      <c r="D441" s="120">
        <v>44561</v>
      </c>
      <c r="E441" s="448">
        <v>44196</v>
      </c>
      <c r="F441" s="448">
        <v>43831</v>
      </c>
    </row>
    <row r="442" spans="1:12" x14ac:dyDescent="0.2">
      <c r="A442" s="6"/>
    </row>
    <row r="443" spans="1:12" x14ac:dyDescent="0.2">
      <c r="A443" s="6"/>
    </row>
    <row r="444" spans="1:12" x14ac:dyDescent="0.2">
      <c r="A444" s="447" t="s">
        <v>2586</v>
      </c>
      <c r="B444" s="447"/>
      <c r="C444" s="447"/>
      <c r="D444" s="447"/>
    </row>
    <row r="445" spans="1:12" x14ac:dyDescent="0.2">
      <c r="A445" s="87" t="s">
        <v>2587</v>
      </c>
    </row>
    <row r="446" spans="1:12" x14ac:dyDescent="0.2">
      <c r="A446" s="87"/>
    </row>
    <row r="447" spans="1:12" x14ac:dyDescent="0.2">
      <c r="A447" s="87"/>
      <c r="C447" s="453">
        <f>(1890-690)*6/21</f>
        <v>342.85714285714283</v>
      </c>
    </row>
    <row r="448" spans="1:12" x14ac:dyDescent="0.2">
      <c r="A448" s="87"/>
      <c r="C448" s="453"/>
    </row>
    <row r="449" spans="1:14" x14ac:dyDescent="0.2">
      <c r="A449" s="87"/>
      <c r="C449" s="453">
        <f>(1890-690)*5/21</f>
        <v>285.71428571428572</v>
      </c>
    </row>
    <row r="450" spans="1:14" x14ac:dyDescent="0.2">
      <c r="A450" s="6"/>
      <c r="C450" s="453"/>
    </row>
    <row r="451" spans="1:14" x14ac:dyDescent="0.2">
      <c r="A451" s="6"/>
      <c r="C451" s="453">
        <f>(1890-690)*4/21</f>
        <v>228.57142857142858</v>
      </c>
    </row>
    <row r="452" spans="1:14" x14ac:dyDescent="0.2">
      <c r="A452" s="6"/>
      <c r="C452" s="453"/>
    </row>
    <row r="453" spans="1:14" x14ac:dyDescent="0.2">
      <c r="A453" s="6"/>
      <c r="C453" s="453">
        <f>(1890-690)*3/21</f>
        <v>171.42857142857142</v>
      </c>
    </row>
    <row r="454" spans="1:14" x14ac:dyDescent="0.2">
      <c r="A454" s="6"/>
      <c r="C454" s="453"/>
    </row>
    <row r="455" spans="1:14" x14ac:dyDescent="0.2">
      <c r="A455" s="132" t="s">
        <v>3972</v>
      </c>
      <c r="B455" s="132"/>
      <c r="C455" s="132"/>
      <c r="D455" s="132"/>
      <c r="E455" s="132"/>
      <c r="F455" s="132"/>
      <c r="G455" s="132"/>
      <c r="H455" s="132"/>
    </row>
    <row r="456" spans="1:14" x14ac:dyDescent="0.2">
      <c r="A456" s="1" t="s">
        <v>2589</v>
      </c>
    </row>
    <row r="457" spans="1:14" x14ac:dyDescent="0.2">
      <c r="A457" s="1" t="s">
        <v>2590</v>
      </c>
    </row>
    <row r="458" spans="1:14" x14ac:dyDescent="0.2">
      <c r="A458" s="1" t="s">
        <v>3985</v>
      </c>
    </row>
    <row r="459" spans="1:14" x14ac:dyDescent="0.2">
      <c r="A459" s="1" t="s">
        <v>2591</v>
      </c>
    </row>
    <row r="460" spans="1:14" x14ac:dyDescent="0.2">
      <c r="A460" s="1" t="s">
        <v>2592</v>
      </c>
    </row>
    <row r="461" spans="1:14" x14ac:dyDescent="0.2">
      <c r="A461" s="1" t="s">
        <v>2593</v>
      </c>
    </row>
    <row r="463" spans="1:14" x14ac:dyDescent="0.2">
      <c r="F463" s="1" t="s">
        <v>2588</v>
      </c>
    </row>
    <row r="464" spans="1:14" x14ac:dyDescent="0.2">
      <c r="A464" s="25" t="s">
        <v>3973</v>
      </c>
      <c r="B464" s="25"/>
      <c r="J464" s="3" t="s">
        <v>3100</v>
      </c>
      <c r="K464" s="3"/>
      <c r="L464" s="3"/>
      <c r="M464" s="3"/>
      <c r="N464" s="3"/>
    </row>
    <row r="465" spans="1:14" x14ac:dyDescent="0.2">
      <c r="B465" s="1" t="s">
        <v>3974</v>
      </c>
      <c r="C465" s="1" t="s">
        <v>3975</v>
      </c>
      <c r="J465" s="1" t="s">
        <v>3093</v>
      </c>
      <c r="L465" s="1" t="s">
        <v>3092</v>
      </c>
    </row>
    <row r="466" spans="1:14" x14ac:dyDescent="0.2">
      <c r="B466" s="1" t="s">
        <v>3986</v>
      </c>
    </row>
    <row r="467" spans="1:14" x14ac:dyDescent="0.2">
      <c r="J467" s="6" t="s">
        <v>3094</v>
      </c>
      <c r="K467" s="6" t="s">
        <v>3095</v>
      </c>
      <c r="L467" s="6" t="s">
        <v>3096</v>
      </c>
    </row>
    <row r="468" spans="1:14" x14ac:dyDescent="0.2">
      <c r="A468" s="25" t="s">
        <v>3977</v>
      </c>
      <c r="B468" s="25"/>
      <c r="J468" s="448">
        <v>43191</v>
      </c>
      <c r="K468" s="448">
        <v>43555</v>
      </c>
      <c r="L468" s="6">
        <v>10</v>
      </c>
    </row>
    <row r="469" spans="1:14" ht="17" thickBot="1" x14ac:dyDescent="0.25">
      <c r="A469" s="6" t="s">
        <v>3978</v>
      </c>
      <c r="B469" s="6" t="s">
        <v>3979</v>
      </c>
      <c r="C469" s="6" t="s">
        <v>3980</v>
      </c>
      <c r="D469" s="6" t="s">
        <v>3096</v>
      </c>
      <c r="J469" s="448">
        <v>43556</v>
      </c>
      <c r="K469" s="448">
        <v>43921</v>
      </c>
      <c r="L469" s="6">
        <v>9</v>
      </c>
    </row>
    <row r="470" spans="1:14" ht="17" thickBot="1" x14ac:dyDescent="0.25">
      <c r="A470" s="618">
        <v>43191</v>
      </c>
      <c r="B470" s="383">
        <v>43465</v>
      </c>
      <c r="C470" s="171">
        <v>9</v>
      </c>
      <c r="D470" s="619">
        <v>10</v>
      </c>
      <c r="E470" s="1" t="s">
        <v>3981</v>
      </c>
      <c r="J470" s="448">
        <v>43922</v>
      </c>
      <c r="K470" s="448">
        <v>44286</v>
      </c>
      <c r="L470" s="6">
        <v>8</v>
      </c>
    </row>
    <row r="471" spans="1:14" x14ac:dyDescent="0.2">
      <c r="A471" s="621">
        <v>43466</v>
      </c>
      <c r="B471" s="622">
        <v>43556</v>
      </c>
      <c r="C471" s="624">
        <v>3</v>
      </c>
      <c r="D471" s="623">
        <v>10</v>
      </c>
      <c r="E471" s="910" t="s">
        <v>3982</v>
      </c>
      <c r="F471" s="911"/>
      <c r="G471" s="911"/>
    </row>
    <row r="472" spans="1:14" ht="17" thickBot="1" x14ac:dyDescent="0.25">
      <c r="A472" s="625">
        <v>43556</v>
      </c>
      <c r="B472" s="626">
        <v>43830</v>
      </c>
      <c r="C472" s="598">
        <v>9</v>
      </c>
      <c r="D472" s="599">
        <v>9</v>
      </c>
      <c r="E472" s="910"/>
      <c r="F472" s="911"/>
      <c r="G472" s="911"/>
      <c r="J472" s="23">
        <f>4200000*(10*0.75)/55</f>
        <v>572727.27272727271</v>
      </c>
      <c r="N472" s="1" t="s">
        <v>3097</v>
      </c>
    </row>
    <row r="473" spans="1:14" x14ac:dyDescent="0.2">
      <c r="A473" s="621">
        <v>43831</v>
      </c>
      <c r="B473" s="627">
        <v>43922</v>
      </c>
      <c r="C473" s="624">
        <v>3</v>
      </c>
      <c r="D473" s="623">
        <v>9</v>
      </c>
      <c r="E473" s="912" t="s">
        <v>3983</v>
      </c>
      <c r="F473" s="913"/>
      <c r="G473" s="913"/>
      <c r="J473" s="23">
        <f>4200000*(10*0.25+9*0.75)/55</f>
        <v>706363.63636363635</v>
      </c>
      <c r="N473" s="1" t="s">
        <v>3098</v>
      </c>
    </row>
    <row r="474" spans="1:14" ht="17" thickBot="1" x14ac:dyDescent="0.25">
      <c r="A474" s="628">
        <v>43922</v>
      </c>
      <c r="B474" s="626">
        <v>44196</v>
      </c>
      <c r="C474" s="598">
        <v>9</v>
      </c>
      <c r="D474" s="599">
        <v>8</v>
      </c>
      <c r="E474" s="912"/>
      <c r="F474" s="913"/>
      <c r="G474" s="913"/>
      <c r="J474" s="23">
        <f>4200000*(9*0.25+8*0.75)/55</f>
        <v>630000</v>
      </c>
      <c r="N474" s="1" t="s">
        <v>3099</v>
      </c>
    </row>
    <row r="475" spans="1:14" x14ac:dyDescent="0.2">
      <c r="J475" s="23"/>
    </row>
    <row r="476" spans="1:14" x14ac:dyDescent="0.2">
      <c r="J476" s="23"/>
    </row>
    <row r="477" spans="1:14" x14ac:dyDescent="0.2">
      <c r="A477" s="1" t="s">
        <v>2594</v>
      </c>
    </row>
    <row r="487" spans="1:5" x14ac:dyDescent="0.2">
      <c r="C487" s="446">
        <v>43465</v>
      </c>
      <c r="D487" s="446">
        <v>43830</v>
      </c>
      <c r="E487" s="446">
        <v>44196</v>
      </c>
    </row>
    <row r="488" spans="1:5" x14ac:dyDescent="0.2">
      <c r="A488" s="1" t="s">
        <v>677</v>
      </c>
      <c r="C488" s="24">
        <v>5000000</v>
      </c>
      <c r="D488" s="24">
        <f>C488</f>
        <v>5000000</v>
      </c>
      <c r="E488" s="24">
        <f>D488</f>
        <v>5000000</v>
      </c>
    </row>
    <row r="489" spans="1:5" x14ac:dyDescent="0.2">
      <c r="A489" s="1" t="s">
        <v>2595</v>
      </c>
      <c r="C489" s="23">
        <f>-C492</f>
        <v>-572727.27272727271</v>
      </c>
      <c r="D489" s="23">
        <f>C489-D492</f>
        <v>-1279090.9090909092</v>
      </c>
      <c r="E489" s="23">
        <f>D489-E492</f>
        <v>-1909090.9090909092</v>
      </c>
    </row>
    <row r="490" spans="1:5" x14ac:dyDescent="0.2">
      <c r="A490" s="1" t="s">
        <v>678</v>
      </c>
      <c r="C490" s="89">
        <f>C488+C489</f>
        <v>4427272.7272727275</v>
      </c>
      <c r="D490" s="89">
        <f>D488+D489</f>
        <v>3720909.0909090908</v>
      </c>
      <c r="E490" s="89">
        <f>E488+E489</f>
        <v>3090909.0909090908</v>
      </c>
    </row>
    <row r="492" spans="1:5" x14ac:dyDescent="0.2">
      <c r="A492" s="1" t="s">
        <v>693</v>
      </c>
      <c r="C492" s="23">
        <f>C507</f>
        <v>572727.27272727271</v>
      </c>
      <c r="D492" s="23">
        <f>C509</f>
        <v>706363.63636363635</v>
      </c>
      <c r="E492" s="23">
        <f>C512</f>
        <v>630000</v>
      </c>
    </row>
    <row r="494" spans="1:5" x14ac:dyDescent="0.2">
      <c r="D494" s="24"/>
    </row>
    <row r="495" spans="1:5" x14ac:dyDescent="0.2">
      <c r="A495" s="1" t="s">
        <v>2596</v>
      </c>
    </row>
    <row r="496" spans="1:5" x14ac:dyDescent="0.2">
      <c r="A496" s="1" t="s">
        <v>2597</v>
      </c>
    </row>
    <row r="497" spans="1:8" x14ac:dyDescent="0.2">
      <c r="A497" s="1" t="s">
        <v>2598</v>
      </c>
      <c r="E497" s="1" t="s">
        <v>2599</v>
      </c>
    </row>
    <row r="500" spans="1:8" x14ac:dyDescent="0.2">
      <c r="B500" s="54">
        <v>8</v>
      </c>
      <c r="E500" s="1">
        <v>9</v>
      </c>
      <c r="G500" s="6" t="s">
        <v>2600</v>
      </c>
    </row>
    <row r="502" spans="1:8" x14ac:dyDescent="0.2">
      <c r="B502" s="120">
        <v>44287</v>
      </c>
      <c r="C502" s="120">
        <v>44196</v>
      </c>
      <c r="D502" s="120">
        <v>43922</v>
      </c>
      <c r="E502" s="455">
        <v>43830</v>
      </c>
      <c r="F502" s="120">
        <v>43556</v>
      </c>
      <c r="G502" s="455">
        <v>43465</v>
      </c>
      <c r="H502" s="120">
        <v>43191</v>
      </c>
    </row>
    <row r="507" spans="1:8" x14ac:dyDescent="0.2">
      <c r="C507" s="23">
        <f>4200000*10*0.75/55</f>
        <v>572727.27272727271</v>
      </c>
    </row>
    <row r="508" spans="1:8" x14ac:dyDescent="0.2">
      <c r="C508" s="23"/>
    </row>
    <row r="509" spans="1:8" x14ac:dyDescent="0.2">
      <c r="C509" s="23">
        <f>4200000*(10*0.25+9*0.75)/55</f>
        <v>706363.63636363635</v>
      </c>
    </row>
    <row r="510" spans="1:8" x14ac:dyDescent="0.2">
      <c r="C510" s="23"/>
    </row>
    <row r="511" spans="1:8" x14ac:dyDescent="0.2">
      <c r="C511" s="23"/>
    </row>
    <row r="512" spans="1:8" x14ac:dyDescent="0.2">
      <c r="C512" s="23">
        <f>4200000*(9*0.25+8*0.75)/55</f>
        <v>630000</v>
      </c>
    </row>
    <row r="515" spans="1:9" x14ac:dyDescent="0.2">
      <c r="A515" s="79" t="s">
        <v>3987</v>
      </c>
      <c r="B515" s="79"/>
      <c r="C515" s="79"/>
      <c r="D515" s="79"/>
      <c r="E515" s="79"/>
      <c r="F515" s="79"/>
      <c r="G515" s="79"/>
      <c r="H515" s="79"/>
    </row>
    <row r="516" spans="1:9" x14ac:dyDescent="0.2">
      <c r="A516" s="1" t="s">
        <v>3988</v>
      </c>
    </row>
    <row r="517" spans="1:9" x14ac:dyDescent="0.2">
      <c r="A517" s="1" t="s">
        <v>3989</v>
      </c>
    </row>
    <row r="518" spans="1:9" x14ac:dyDescent="0.2">
      <c r="A518" s="1" t="s">
        <v>3990</v>
      </c>
    </row>
    <row r="519" spans="1:9" x14ac:dyDescent="0.2">
      <c r="A519" s="1" t="s">
        <v>3991</v>
      </c>
    </row>
    <row r="520" spans="1:9" x14ac:dyDescent="0.2">
      <c r="A520" s="1" t="s">
        <v>3992</v>
      </c>
    </row>
    <row r="521" spans="1:9" x14ac:dyDescent="0.2">
      <c r="A521" s="1" t="s">
        <v>3993</v>
      </c>
    </row>
    <row r="523" spans="1:9" x14ac:dyDescent="0.2">
      <c r="A523" s="1" t="s">
        <v>195</v>
      </c>
    </row>
    <row r="524" spans="1:9" x14ac:dyDescent="0.2">
      <c r="A524" s="1" t="s">
        <v>3994</v>
      </c>
    </row>
    <row r="525" spans="1:9" x14ac:dyDescent="0.2">
      <c r="A525" s="1" t="s">
        <v>3995</v>
      </c>
    </row>
    <row r="527" spans="1:9" x14ac:dyDescent="0.2">
      <c r="A527" s="1" t="s">
        <v>3996</v>
      </c>
    </row>
    <row r="528" spans="1:9" x14ac:dyDescent="0.2">
      <c r="A528" s="1" t="s">
        <v>3973</v>
      </c>
      <c r="E528" s="1" t="s">
        <v>3997</v>
      </c>
      <c r="F528" s="1" t="s">
        <v>3998</v>
      </c>
      <c r="I528" s="1" t="s">
        <v>4001</v>
      </c>
    </row>
    <row r="529" spans="1:14" x14ac:dyDescent="0.2">
      <c r="A529" s="1" t="s">
        <v>3999</v>
      </c>
      <c r="I529" s="1" t="s">
        <v>4002</v>
      </c>
      <c r="L529" s="1" t="s">
        <v>3976</v>
      </c>
    </row>
    <row r="530" spans="1:14" x14ac:dyDescent="0.2">
      <c r="A530" s="1" t="s">
        <v>4000</v>
      </c>
      <c r="I530" s="1" t="s">
        <v>4003</v>
      </c>
    </row>
    <row r="531" spans="1:14" x14ac:dyDescent="0.2">
      <c r="I531" s="1" t="s">
        <v>3094</v>
      </c>
      <c r="J531" s="1" t="s">
        <v>3095</v>
      </c>
      <c r="K531" s="1" t="s">
        <v>3980</v>
      </c>
      <c r="L531" s="1" t="s">
        <v>3096</v>
      </c>
    </row>
    <row r="532" spans="1:14" x14ac:dyDescent="0.2">
      <c r="C532" s="446">
        <v>44196</v>
      </c>
      <c r="D532" s="446">
        <v>44561</v>
      </c>
      <c r="E532" s="446">
        <v>44926</v>
      </c>
      <c r="I532" s="249">
        <v>43891</v>
      </c>
      <c r="J532" s="120">
        <v>44196</v>
      </c>
      <c r="K532" s="1">
        <v>10</v>
      </c>
      <c r="L532" s="1">
        <v>10</v>
      </c>
    </row>
    <row r="533" spans="1:14" x14ac:dyDescent="0.2">
      <c r="B533" s="1" t="s">
        <v>677</v>
      </c>
      <c r="C533" s="23">
        <f>550000</f>
        <v>550000</v>
      </c>
      <c r="D533" s="23">
        <f>550000</f>
        <v>550000</v>
      </c>
      <c r="E533" s="23">
        <f>550000</f>
        <v>550000</v>
      </c>
      <c r="I533" s="120">
        <v>44197</v>
      </c>
      <c r="J533" s="629">
        <v>44256</v>
      </c>
      <c r="K533" s="1">
        <v>2</v>
      </c>
      <c r="L533" s="1">
        <v>10</v>
      </c>
    </row>
    <row r="534" spans="1:14" ht="17" thickBot="1" x14ac:dyDescent="0.25">
      <c r="B534" s="1" t="s">
        <v>650</v>
      </c>
      <c r="C534" s="23">
        <f>-C537</f>
        <v>-69696.969696969696</v>
      </c>
      <c r="D534" s="23">
        <f>C534-D537</f>
        <v>-146363.63636363635</v>
      </c>
      <c r="E534" s="23">
        <f>D534-E537</f>
        <v>-214666.66666666669</v>
      </c>
      <c r="I534" s="629">
        <v>44256</v>
      </c>
      <c r="J534" s="120">
        <v>44561</v>
      </c>
      <c r="K534" s="1">
        <v>10</v>
      </c>
      <c r="L534" s="1">
        <v>9</v>
      </c>
    </row>
    <row r="535" spans="1:14" ht="17" thickBot="1" x14ac:dyDescent="0.25">
      <c r="B535" s="1" t="s">
        <v>678</v>
      </c>
      <c r="C535" s="631">
        <f>SUM(C533:C534)</f>
        <v>480303.03030303027</v>
      </c>
      <c r="D535" s="632">
        <f t="shared" ref="D535:E535" si="6">SUM(D533:D534)</f>
        <v>403636.36363636365</v>
      </c>
      <c r="E535" s="633">
        <f t="shared" si="6"/>
        <v>335333.33333333331</v>
      </c>
      <c r="I535" s="120">
        <v>44562</v>
      </c>
      <c r="J535" s="630">
        <v>44621</v>
      </c>
      <c r="K535" s="1">
        <v>2</v>
      </c>
      <c r="L535" s="1">
        <v>9</v>
      </c>
    </row>
    <row r="536" spans="1:14" x14ac:dyDescent="0.2">
      <c r="C536" s="23"/>
      <c r="D536" s="23"/>
      <c r="E536" s="23"/>
      <c r="I536" s="630">
        <v>44621</v>
      </c>
      <c r="J536" s="120">
        <v>44926</v>
      </c>
      <c r="K536" s="1">
        <v>10</v>
      </c>
      <c r="L536" s="1">
        <v>8</v>
      </c>
    </row>
    <row r="537" spans="1:14" x14ac:dyDescent="0.2">
      <c r="B537" s="1" t="s">
        <v>693</v>
      </c>
      <c r="C537" s="23">
        <f>J539</f>
        <v>69696.969696969696</v>
      </c>
      <c r="D537" s="23">
        <f>J540</f>
        <v>76666.666666666657</v>
      </c>
      <c r="E537" s="23">
        <f>J541</f>
        <v>68303.030303030318</v>
      </c>
    </row>
    <row r="538" spans="1:14" x14ac:dyDescent="0.2">
      <c r="I538" s="1" t="s">
        <v>4004</v>
      </c>
    </row>
    <row r="539" spans="1:14" x14ac:dyDescent="0.2">
      <c r="I539" s="1">
        <v>2020</v>
      </c>
      <c r="J539" s="616">
        <f>460000*(10*10/12)/55</f>
        <v>69696.969696969696</v>
      </c>
      <c r="N539" s="1" t="s">
        <v>4005</v>
      </c>
    </row>
    <row r="540" spans="1:14" x14ac:dyDescent="0.2">
      <c r="I540" s="1">
        <v>2021</v>
      </c>
      <c r="J540" s="616">
        <f>460000*((10*2/12)+(9*10/12))/55</f>
        <v>76666.666666666657</v>
      </c>
      <c r="N540" s="1" t="s">
        <v>4006</v>
      </c>
    </row>
    <row r="541" spans="1:14" x14ac:dyDescent="0.2">
      <c r="I541" s="1">
        <v>2022</v>
      </c>
      <c r="J541" s="616">
        <f>460000*((9*2/12)+(8*10/12))/55</f>
        <v>68303.030303030318</v>
      </c>
      <c r="N541" s="1" t="s">
        <v>4007</v>
      </c>
    </row>
    <row r="548" spans="1:8" x14ac:dyDescent="0.2">
      <c r="A548" s="132" t="s">
        <v>3101</v>
      </c>
      <c r="B548" s="132"/>
      <c r="C548" s="132"/>
      <c r="D548" s="132"/>
      <c r="E548" s="132"/>
      <c r="F548" s="132"/>
      <c r="G548" s="132" t="s">
        <v>2540</v>
      </c>
      <c r="H548" s="132"/>
    </row>
    <row r="549" spans="1:8" x14ac:dyDescent="0.2">
      <c r="C549" s="1" t="s">
        <v>3102</v>
      </c>
    </row>
    <row r="550" spans="1:8" x14ac:dyDescent="0.2">
      <c r="C550" s="1" t="s">
        <v>3103</v>
      </c>
    </row>
    <row r="551" spans="1:8" x14ac:dyDescent="0.2">
      <c r="C551" s="1" t="s">
        <v>3104</v>
      </c>
    </row>
    <row r="552" spans="1:8" x14ac:dyDescent="0.2">
      <c r="C552" s="1" t="s">
        <v>3105</v>
      </c>
    </row>
    <row r="553" spans="1:8" x14ac:dyDescent="0.2">
      <c r="C553" s="1" t="s">
        <v>3106</v>
      </c>
    </row>
    <row r="554" spans="1:8" x14ac:dyDescent="0.2">
      <c r="C554" s="1" t="s">
        <v>3107</v>
      </c>
    </row>
    <row r="555" spans="1:8" x14ac:dyDescent="0.2">
      <c r="C555" s="1" t="s">
        <v>3108</v>
      </c>
    </row>
    <row r="557" spans="1:8" x14ac:dyDescent="0.2">
      <c r="A557" s="1" t="s">
        <v>3109</v>
      </c>
    </row>
    <row r="558" spans="1:8" x14ac:dyDescent="0.2">
      <c r="A558" s="1" t="s">
        <v>3110</v>
      </c>
      <c r="C558" s="1" t="s">
        <v>3111</v>
      </c>
      <c r="D558" s="1" t="s">
        <v>3112</v>
      </c>
      <c r="H558" s="110" t="s">
        <v>3115</v>
      </c>
    </row>
    <row r="559" spans="1:8" x14ac:dyDescent="0.2">
      <c r="A559" s="1" t="s">
        <v>3113</v>
      </c>
    </row>
    <row r="560" spans="1:8" x14ac:dyDescent="0.2">
      <c r="A560" s="1" t="s">
        <v>3114</v>
      </c>
    </row>
    <row r="562" spans="3:9" x14ac:dyDescent="0.2">
      <c r="C562" s="1" t="s">
        <v>3094</v>
      </c>
      <c r="D562" s="1" t="s">
        <v>3095</v>
      </c>
      <c r="E562" s="1" t="s">
        <v>3096</v>
      </c>
      <c r="G562" s="1" t="s">
        <v>319</v>
      </c>
      <c r="H562" s="1" t="s">
        <v>3096</v>
      </c>
    </row>
    <row r="563" spans="3:9" x14ac:dyDescent="0.2">
      <c r="C563" s="120">
        <v>43983</v>
      </c>
      <c r="D563" s="120">
        <v>44347</v>
      </c>
      <c r="E563" s="1">
        <v>7</v>
      </c>
      <c r="G563" s="1">
        <v>2020</v>
      </c>
      <c r="H563" s="87" t="s">
        <v>3116</v>
      </c>
    </row>
    <row r="564" spans="3:9" x14ac:dyDescent="0.2">
      <c r="C564" s="120">
        <v>44348</v>
      </c>
      <c r="D564" s="120">
        <v>44712</v>
      </c>
      <c r="E564" s="1">
        <v>6</v>
      </c>
      <c r="G564" s="1">
        <v>2021</v>
      </c>
      <c r="H564" s="855" t="s">
        <v>3117</v>
      </c>
      <c r="I564" s="855"/>
    </row>
    <row r="565" spans="3:9" x14ac:dyDescent="0.2">
      <c r="C565" s="120">
        <v>44713</v>
      </c>
      <c r="D565" s="120">
        <v>45077</v>
      </c>
      <c r="E565" s="1">
        <v>5</v>
      </c>
      <c r="G565" s="1">
        <v>2022</v>
      </c>
      <c r="H565" s="855" t="s">
        <v>3118</v>
      </c>
      <c r="I565" s="855"/>
    </row>
    <row r="566" spans="3:9" x14ac:dyDescent="0.2">
      <c r="C566" s="120">
        <v>45078</v>
      </c>
      <c r="D566" s="120">
        <v>45443</v>
      </c>
      <c r="E566" s="1">
        <v>4</v>
      </c>
      <c r="G566" s="1">
        <v>2023</v>
      </c>
      <c r="H566" s="855" t="s">
        <v>3119</v>
      </c>
      <c r="I566" s="855"/>
    </row>
    <row r="569" spans="3:9" x14ac:dyDescent="0.2">
      <c r="D569" s="24">
        <f>600000*7*7/12/28</f>
        <v>87500</v>
      </c>
    </row>
    <row r="572" spans="3:9" x14ac:dyDescent="0.2">
      <c r="D572" s="24">
        <f>600000*(7*5/12+6*7/12)/28</f>
        <v>137499.99999999997</v>
      </c>
    </row>
    <row r="574" spans="3:9" x14ac:dyDescent="0.2">
      <c r="D574" s="24">
        <f>600000*(6*5/12+5*7/12)/28</f>
        <v>116071.42857142855</v>
      </c>
    </row>
    <row r="577" spans="1:8" x14ac:dyDescent="0.2">
      <c r="D577" s="24">
        <f>600000*(5*5/12+4*7/12)/28</f>
        <v>94642.857142857145</v>
      </c>
    </row>
    <row r="580" spans="1:8" ht="17" thickBot="1" x14ac:dyDescent="0.25"/>
    <row r="581" spans="1:8" x14ac:dyDescent="0.2">
      <c r="A581" s="18" t="s">
        <v>761</v>
      </c>
      <c r="B581" s="100"/>
      <c r="C581" s="100"/>
      <c r="D581" s="100"/>
      <c r="E581" s="100"/>
      <c r="F581" s="100"/>
      <c r="G581" s="100"/>
      <c r="H581" s="19"/>
    </row>
    <row r="582" spans="1:8" x14ac:dyDescent="0.2">
      <c r="A582" s="106" t="s">
        <v>762</v>
      </c>
      <c r="H582" s="107"/>
    </row>
    <row r="583" spans="1:8" x14ac:dyDescent="0.2">
      <c r="A583" s="106" t="s">
        <v>763</v>
      </c>
      <c r="H583" s="107"/>
    </row>
    <row r="584" spans="1:8" x14ac:dyDescent="0.2">
      <c r="A584" s="106" t="s">
        <v>764</v>
      </c>
      <c r="H584" s="107"/>
    </row>
    <row r="585" spans="1:8" ht="17" thickBot="1" x14ac:dyDescent="0.25">
      <c r="A585" s="20" t="s">
        <v>765</v>
      </c>
      <c r="B585" s="103"/>
      <c r="C585" s="103"/>
      <c r="D585" s="103"/>
      <c r="E585" s="103"/>
      <c r="F585" s="103"/>
      <c r="G585" s="103"/>
      <c r="H585" s="21"/>
    </row>
    <row r="589" spans="1:8" x14ac:dyDescent="0.2">
      <c r="A589" s="133" t="s">
        <v>766</v>
      </c>
      <c r="B589" s="53"/>
      <c r="C589" s="53"/>
      <c r="D589" s="53"/>
      <c r="E589" s="53"/>
      <c r="F589" s="53"/>
      <c r="G589" s="53"/>
      <c r="H589" s="53"/>
    </row>
    <row r="590" spans="1:8" x14ac:dyDescent="0.2">
      <c r="A590" s="1" t="s">
        <v>767</v>
      </c>
    </row>
    <row r="591" spans="1:8" x14ac:dyDescent="0.2">
      <c r="A591" s="1" t="s">
        <v>3120</v>
      </c>
    </row>
    <row r="593" spans="1:8" x14ac:dyDescent="0.2">
      <c r="A593" s="85" t="s">
        <v>2601</v>
      </c>
      <c r="B593" s="85"/>
      <c r="C593" s="85"/>
      <c r="D593" s="85"/>
      <c r="E593" s="85"/>
      <c r="F593" s="85"/>
      <c r="G593" s="85"/>
      <c r="H593" s="85"/>
    </row>
    <row r="594" spans="1:8" x14ac:dyDescent="0.2">
      <c r="A594" s="1" t="s">
        <v>2602</v>
      </c>
    </row>
    <row r="596" spans="1:8" x14ac:dyDescent="0.2">
      <c r="A596" s="1" t="s">
        <v>3121</v>
      </c>
    </row>
    <row r="597" spans="1:8" x14ac:dyDescent="0.2">
      <c r="A597" s="1" t="s">
        <v>2603</v>
      </c>
    </row>
    <row r="598" spans="1:8" x14ac:dyDescent="0.2">
      <c r="A598" s="1" t="s">
        <v>2604</v>
      </c>
    </row>
    <row r="599" spans="1:8" x14ac:dyDescent="0.2">
      <c r="A599" s="1" t="s">
        <v>2607</v>
      </c>
    </row>
    <row r="600" spans="1:8" x14ac:dyDescent="0.2">
      <c r="A600" s="1" t="s">
        <v>2608</v>
      </c>
    </row>
    <row r="602" spans="1:8" x14ac:dyDescent="0.2">
      <c r="A602" s="1" t="s">
        <v>3122</v>
      </c>
    </row>
    <row r="603" spans="1:8" x14ac:dyDescent="0.2">
      <c r="A603" s="1" t="s">
        <v>2606</v>
      </c>
    </row>
    <row r="604" spans="1:8" x14ac:dyDescent="0.2">
      <c r="A604" s="1" t="s">
        <v>2609</v>
      </c>
    </row>
    <row r="605" spans="1:8" x14ac:dyDescent="0.2">
      <c r="A605" s="1" t="s">
        <v>2610</v>
      </c>
    </row>
    <row r="607" spans="1:8" x14ac:dyDescent="0.2">
      <c r="A607" s="1" t="s">
        <v>195</v>
      </c>
    </row>
    <row r="608" spans="1:8" x14ac:dyDescent="0.2">
      <c r="A608" s="1" t="s">
        <v>2611</v>
      </c>
    </row>
    <row r="609" spans="1:10" x14ac:dyDescent="0.2">
      <c r="A609" s="1" t="s">
        <v>2612</v>
      </c>
    </row>
    <row r="610" spans="1:10" ht="17" thickBot="1" x14ac:dyDescent="0.25"/>
    <row r="611" spans="1:10" ht="17" thickBot="1" x14ac:dyDescent="0.25">
      <c r="A611" s="283" t="s">
        <v>2613</v>
      </c>
      <c r="B611" s="94"/>
      <c r="C611" s="94"/>
      <c r="D611" s="94"/>
      <c r="E611" s="94"/>
      <c r="F611" s="94"/>
      <c r="G611" s="94"/>
      <c r="H611" s="95"/>
    </row>
    <row r="613" spans="1:10" x14ac:dyDescent="0.2">
      <c r="A613" s="424" t="s">
        <v>2614</v>
      </c>
      <c r="B613" s="79"/>
      <c r="C613" s="79"/>
      <c r="D613" s="79"/>
      <c r="E613" s="79"/>
      <c r="F613" s="79"/>
      <c r="G613" s="79"/>
      <c r="H613" s="79"/>
    </row>
    <row r="614" spans="1:10" x14ac:dyDescent="0.2">
      <c r="A614" s="2"/>
    </row>
    <row r="615" spans="1:10" x14ac:dyDescent="0.2">
      <c r="A615" s="2" t="s">
        <v>3129</v>
      </c>
      <c r="C615" s="6"/>
      <c r="D615" s="6"/>
      <c r="E615" s="6"/>
      <c r="F615" s="6"/>
      <c r="G615" s="6" t="s">
        <v>3124</v>
      </c>
      <c r="H615" s="6" t="s">
        <v>3126</v>
      </c>
    </row>
    <row r="616" spans="1:10" x14ac:dyDescent="0.2">
      <c r="A616" s="2"/>
      <c r="C616" s="6"/>
      <c r="D616" s="6"/>
      <c r="E616" s="6"/>
      <c r="F616" s="6"/>
      <c r="G616" s="6" t="s">
        <v>3125</v>
      </c>
      <c r="H616" s="6" t="s">
        <v>3127</v>
      </c>
    </row>
    <row r="617" spans="1:10" x14ac:dyDescent="0.2">
      <c r="A617" s="2"/>
      <c r="C617" s="86">
        <v>43465</v>
      </c>
      <c r="D617" s="86">
        <v>43830</v>
      </c>
      <c r="E617" s="86">
        <v>44196</v>
      </c>
      <c r="F617" s="86">
        <v>44561</v>
      </c>
      <c r="G617" s="86">
        <v>44652</v>
      </c>
      <c r="H617" s="86">
        <v>44926</v>
      </c>
    </row>
    <row r="618" spans="1:10" x14ac:dyDescent="0.2">
      <c r="A618" s="1" t="s">
        <v>677</v>
      </c>
      <c r="C618" s="41">
        <f>50000+20000+10000</f>
        <v>80000</v>
      </c>
      <c r="D618" s="41">
        <f>C618</f>
        <v>80000</v>
      </c>
      <c r="E618" s="41">
        <f>D618</f>
        <v>80000</v>
      </c>
      <c r="F618" s="41">
        <f>E618</f>
        <v>80000</v>
      </c>
      <c r="G618" s="41">
        <f>F618</f>
        <v>80000</v>
      </c>
      <c r="H618" s="41">
        <v>0</v>
      </c>
    </row>
    <row r="619" spans="1:10" x14ac:dyDescent="0.2">
      <c r="A619" s="1" t="s">
        <v>3123</v>
      </c>
      <c r="C619" s="44">
        <f>-C622</f>
        <v>-13333.333333333334</v>
      </c>
      <c r="D619" s="44">
        <f>C619-D622</f>
        <v>-29333.333333333336</v>
      </c>
      <c r="E619" s="44">
        <f>D619-E622</f>
        <v>-45333.333333333336</v>
      </c>
      <c r="F619" s="44">
        <f t="shared" ref="F619:G619" si="7">E619-F622</f>
        <v>-61333.333333333336</v>
      </c>
      <c r="G619" s="44">
        <f t="shared" si="7"/>
        <v>-65333.333333333336</v>
      </c>
      <c r="H619" s="41">
        <v>0</v>
      </c>
    </row>
    <row r="620" spans="1:10" x14ac:dyDescent="0.2">
      <c r="A620" s="1" t="s">
        <v>2007</v>
      </c>
      <c r="C620" s="55">
        <f>C618+C619</f>
        <v>66666.666666666672</v>
      </c>
      <c r="D620" s="55">
        <f>D618+D619</f>
        <v>50666.666666666664</v>
      </c>
      <c r="E620" s="55">
        <f>E618+E619</f>
        <v>34666.666666666664</v>
      </c>
      <c r="F620" s="55">
        <f>F618+F619</f>
        <v>18666.666666666664</v>
      </c>
      <c r="G620" s="55">
        <f>G618+G619</f>
        <v>14666.666666666664</v>
      </c>
      <c r="H620" s="55">
        <v>0</v>
      </c>
    </row>
    <row r="621" spans="1:10" x14ac:dyDescent="0.2">
      <c r="A621" s="2"/>
      <c r="C621" s="41"/>
      <c r="D621" s="41"/>
      <c r="E621" s="41"/>
      <c r="F621" s="41"/>
      <c r="G621" s="41"/>
      <c r="H621" s="41"/>
    </row>
    <row r="622" spans="1:10" x14ac:dyDescent="0.2">
      <c r="A622" s="1" t="s">
        <v>693</v>
      </c>
      <c r="C622" s="41">
        <f>(80000-0)/5*(10/12)</f>
        <v>13333.333333333334</v>
      </c>
      <c r="D622" s="41">
        <f>(80000-0)/5</f>
        <v>16000</v>
      </c>
      <c r="E622" s="41">
        <f>D622</f>
        <v>16000</v>
      </c>
      <c r="F622" s="41">
        <f>E622</f>
        <v>16000</v>
      </c>
      <c r="G622" s="41">
        <f>F622*3/12</f>
        <v>4000</v>
      </c>
      <c r="H622" s="41">
        <f>G622</f>
        <v>4000</v>
      </c>
    </row>
    <row r="623" spans="1:10" x14ac:dyDescent="0.2">
      <c r="A623" s="2"/>
      <c r="C623" s="41"/>
      <c r="D623" s="41"/>
      <c r="E623" s="41"/>
      <c r="F623" s="41"/>
      <c r="G623" s="41"/>
      <c r="H623" s="41"/>
    </row>
    <row r="624" spans="1:10" x14ac:dyDescent="0.2">
      <c r="A624" s="1" t="s">
        <v>741</v>
      </c>
      <c r="C624" s="41"/>
      <c r="D624" s="41"/>
      <c r="E624" s="41"/>
      <c r="F624" s="41"/>
      <c r="G624" s="41"/>
      <c r="H624" s="41">
        <f>24000-G620</f>
        <v>9333.3333333333358</v>
      </c>
      <c r="J624" s="1" t="s">
        <v>3128</v>
      </c>
    </row>
    <row r="625" spans="1:4" x14ac:dyDescent="0.2">
      <c r="A625" s="2"/>
    </row>
    <row r="626" spans="1:4" x14ac:dyDescent="0.2">
      <c r="A626" s="2" t="s">
        <v>3130</v>
      </c>
    </row>
    <row r="627" spans="1:4" x14ac:dyDescent="0.2">
      <c r="A627" s="2"/>
    </row>
    <row r="628" spans="1:4" x14ac:dyDescent="0.2">
      <c r="A628" s="1" t="s">
        <v>2615</v>
      </c>
    </row>
    <row r="629" spans="1:4" x14ac:dyDescent="0.2">
      <c r="A629" s="1" t="s">
        <v>992</v>
      </c>
    </row>
    <row r="630" spans="1:4" x14ac:dyDescent="0.2">
      <c r="C630" s="1" t="s">
        <v>677</v>
      </c>
      <c r="D630" s="24">
        <v>50000</v>
      </c>
    </row>
    <row r="631" spans="1:4" x14ac:dyDescent="0.2">
      <c r="C631" s="1" t="s">
        <v>703</v>
      </c>
      <c r="D631" s="24">
        <v>20000</v>
      </c>
    </row>
    <row r="632" spans="1:4" x14ac:dyDescent="0.2">
      <c r="C632" s="1" t="s">
        <v>704</v>
      </c>
      <c r="D632" s="24">
        <v>10000</v>
      </c>
    </row>
    <row r="633" spans="1:4" x14ac:dyDescent="0.2">
      <c r="C633" s="1" t="s">
        <v>2620</v>
      </c>
      <c r="D633" s="89">
        <f>SUM(D630:D632)</f>
        <v>80000</v>
      </c>
    </row>
    <row r="635" spans="1:4" x14ac:dyDescent="0.2">
      <c r="A635" s="6" t="s">
        <v>77</v>
      </c>
      <c r="B635" s="1" t="s">
        <v>2616</v>
      </c>
    </row>
    <row r="636" spans="1:4" x14ac:dyDescent="0.2">
      <c r="B636" s="1" t="s">
        <v>2617</v>
      </c>
    </row>
    <row r="637" spans="1:4" x14ac:dyDescent="0.2">
      <c r="A637" s="6" t="s">
        <v>79</v>
      </c>
      <c r="B637" s="1" t="s">
        <v>2618</v>
      </c>
    </row>
    <row r="638" spans="1:4" x14ac:dyDescent="0.2">
      <c r="B638" s="1" t="s">
        <v>2619</v>
      </c>
    </row>
    <row r="640" spans="1:4" x14ac:dyDescent="0.2">
      <c r="A640" s="1" t="s">
        <v>2621</v>
      </c>
    </row>
    <row r="641" spans="1:9" x14ac:dyDescent="0.2">
      <c r="E641" s="24">
        <f>80000/5*10/12</f>
        <v>13333.333333333334</v>
      </c>
      <c r="H641" s="1" t="s">
        <v>2622</v>
      </c>
    </row>
    <row r="642" spans="1:9" x14ac:dyDescent="0.2">
      <c r="E642" s="24">
        <f>80000/5</f>
        <v>16000</v>
      </c>
      <c r="H642" s="1" t="s">
        <v>2623</v>
      </c>
    </row>
    <row r="643" spans="1:9" x14ac:dyDescent="0.2">
      <c r="E643" s="24">
        <f>80000/5</f>
        <v>16000</v>
      </c>
      <c r="H643" s="1" t="s">
        <v>2624</v>
      </c>
    </row>
    <row r="644" spans="1:9" x14ac:dyDescent="0.2">
      <c r="E644" s="24">
        <f>80000/5</f>
        <v>16000</v>
      </c>
      <c r="H644" s="1" t="s">
        <v>2625</v>
      </c>
    </row>
    <row r="645" spans="1:9" x14ac:dyDescent="0.2">
      <c r="A645" s="1" t="s">
        <v>3132</v>
      </c>
      <c r="E645" s="24">
        <f>80000/5*(3/12)</f>
        <v>4000</v>
      </c>
      <c r="H645" s="1" t="s">
        <v>3131</v>
      </c>
    </row>
    <row r="646" spans="1:9" x14ac:dyDescent="0.2">
      <c r="E646" s="24"/>
    </row>
    <row r="647" spans="1:9" x14ac:dyDescent="0.2">
      <c r="A647" s="1" t="s">
        <v>2626</v>
      </c>
      <c r="E647" s="24"/>
    </row>
    <row r="648" spans="1:9" x14ac:dyDescent="0.2">
      <c r="E648" s="24"/>
      <c r="F648" s="1" t="s">
        <v>2627</v>
      </c>
      <c r="G648" s="1" t="s">
        <v>2628</v>
      </c>
    </row>
    <row r="649" spans="1:9" x14ac:dyDescent="0.2">
      <c r="B649" s="446">
        <v>43465</v>
      </c>
      <c r="C649" s="446">
        <v>43830</v>
      </c>
      <c r="D649" s="446">
        <v>44196</v>
      </c>
      <c r="E649" s="446">
        <v>44561</v>
      </c>
      <c r="F649" s="446">
        <v>44652</v>
      </c>
      <c r="G649" s="446">
        <v>44926</v>
      </c>
    </row>
    <row r="650" spans="1:9" x14ac:dyDescent="0.2">
      <c r="A650" s="1" t="s">
        <v>677</v>
      </c>
      <c r="B650" s="24">
        <v>80000</v>
      </c>
      <c r="C650" s="24">
        <f>B650</f>
        <v>80000</v>
      </c>
      <c r="D650" s="24">
        <f t="shared" ref="D650:F650" si="8">C650</f>
        <v>80000</v>
      </c>
      <c r="E650" s="24">
        <f t="shared" si="8"/>
        <v>80000</v>
      </c>
      <c r="F650" s="24">
        <f t="shared" si="8"/>
        <v>80000</v>
      </c>
      <c r="G650" s="23">
        <v>0</v>
      </c>
    </row>
    <row r="651" spans="1:9" x14ac:dyDescent="0.2">
      <c r="A651" s="1" t="s">
        <v>650</v>
      </c>
      <c r="B651" s="23">
        <f>-E641</f>
        <v>-13333.333333333334</v>
      </c>
      <c r="C651" s="23">
        <f>B651-E642</f>
        <v>-29333.333333333336</v>
      </c>
      <c r="D651" s="23">
        <f>C651-E643</f>
        <v>-45333.333333333336</v>
      </c>
      <c r="E651" s="23">
        <f>D651-E644</f>
        <v>-61333.333333333336</v>
      </c>
      <c r="F651" s="23">
        <f>E651-E645</f>
        <v>-65333.333333333336</v>
      </c>
      <c r="G651" s="23">
        <v>0</v>
      </c>
    </row>
    <row r="652" spans="1:9" x14ac:dyDescent="0.2">
      <c r="A652" s="1" t="s">
        <v>2007</v>
      </c>
      <c r="B652" s="253">
        <f>B650+B651</f>
        <v>66666.666666666672</v>
      </c>
      <c r="C652" s="253">
        <f t="shared" ref="C652:F652" si="9">C650+C651</f>
        <v>50666.666666666664</v>
      </c>
      <c r="D652" s="253">
        <f t="shared" si="9"/>
        <v>34666.666666666664</v>
      </c>
      <c r="E652" s="253">
        <f t="shared" si="9"/>
        <v>18666.666666666664</v>
      </c>
      <c r="F652" s="253">
        <f t="shared" si="9"/>
        <v>14666.666666666664</v>
      </c>
      <c r="G652" s="253">
        <v>0</v>
      </c>
    </row>
    <row r="654" spans="1:9" x14ac:dyDescent="0.2">
      <c r="A654" s="1" t="s">
        <v>2629</v>
      </c>
      <c r="B654" s="24">
        <f>E641</f>
        <v>13333.333333333334</v>
      </c>
      <c r="C654" s="24">
        <f>E642</f>
        <v>16000</v>
      </c>
      <c r="D654" s="24">
        <f>E643</f>
        <v>16000</v>
      </c>
      <c r="E654" s="24">
        <f>E644</f>
        <v>16000</v>
      </c>
      <c r="F654" s="24">
        <f>E645</f>
        <v>4000</v>
      </c>
      <c r="G654" s="24">
        <f>F654</f>
        <v>4000</v>
      </c>
    </row>
    <row r="655" spans="1:9" x14ac:dyDescent="0.2">
      <c r="B655" s="24"/>
      <c r="C655" s="24"/>
      <c r="D655" s="24"/>
      <c r="E655" s="24"/>
      <c r="F655" s="24"/>
      <c r="G655" s="24"/>
    </row>
    <row r="656" spans="1:9" x14ac:dyDescent="0.2">
      <c r="A656" s="1" t="s">
        <v>741</v>
      </c>
      <c r="B656" s="24"/>
      <c r="C656" s="24"/>
      <c r="D656" s="24"/>
      <c r="E656" s="24"/>
      <c r="F656" s="24"/>
      <c r="G656" s="24">
        <f>24000-F652</f>
        <v>9333.3333333333358</v>
      </c>
      <c r="I656" s="1" t="s">
        <v>2630</v>
      </c>
    </row>
    <row r="658" spans="1:11" x14ac:dyDescent="0.2">
      <c r="A658" s="424" t="s">
        <v>2631</v>
      </c>
      <c r="B658" s="79"/>
      <c r="C658" s="79"/>
      <c r="D658" s="79"/>
      <c r="E658" s="79"/>
      <c r="F658" s="79"/>
      <c r="G658" s="79"/>
      <c r="H658" s="79"/>
    </row>
    <row r="659" spans="1:11" x14ac:dyDescent="0.2">
      <c r="A659" s="1" t="s">
        <v>2605</v>
      </c>
    </row>
    <row r="660" spans="1:11" x14ac:dyDescent="0.2">
      <c r="A660" s="1" t="s">
        <v>2606</v>
      </c>
    </row>
    <row r="661" spans="1:11" x14ac:dyDescent="0.2">
      <c r="A661" s="1" t="s">
        <v>2632</v>
      </c>
    </row>
    <row r="662" spans="1:11" x14ac:dyDescent="0.2">
      <c r="A662" s="1" t="s">
        <v>2610</v>
      </c>
      <c r="G662"/>
    </row>
    <row r="664" spans="1:11" x14ac:dyDescent="0.2">
      <c r="A664" s="2" t="s">
        <v>3129</v>
      </c>
      <c r="C664" s="6"/>
      <c r="D664" s="6"/>
      <c r="E664" s="6"/>
      <c r="F664" s="6"/>
      <c r="G664" s="6" t="s">
        <v>3124</v>
      </c>
      <c r="H664" s="6" t="s">
        <v>3126</v>
      </c>
    </row>
    <row r="665" spans="1:11" x14ac:dyDescent="0.2">
      <c r="A665" s="2"/>
      <c r="C665" s="6"/>
      <c r="D665" s="6"/>
      <c r="E665" s="6"/>
      <c r="F665" s="6"/>
      <c r="G665" s="6" t="s">
        <v>3125</v>
      </c>
      <c r="H665" s="6" t="s">
        <v>3127</v>
      </c>
    </row>
    <row r="666" spans="1:11" x14ac:dyDescent="0.2">
      <c r="A666" s="2"/>
      <c r="C666" s="86">
        <v>43465</v>
      </c>
      <c r="D666" s="86">
        <v>43830</v>
      </c>
      <c r="E666" s="86">
        <v>44196</v>
      </c>
      <c r="F666" s="86">
        <v>44561</v>
      </c>
      <c r="G666" s="86">
        <v>44774</v>
      </c>
      <c r="H666" s="86">
        <v>44926</v>
      </c>
    </row>
    <row r="667" spans="1:11" x14ac:dyDescent="0.2">
      <c r="A667" s="1" t="s">
        <v>677</v>
      </c>
      <c r="C667" s="41">
        <v>500000</v>
      </c>
      <c r="D667" s="41">
        <v>500000</v>
      </c>
      <c r="E667" s="41">
        <v>500000</v>
      </c>
      <c r="F667" s="41">
        <v>500000</v>
      </c>
      <c r="G667" s="41">
        <v>500000</v>
      </c>
      <c r="H667" s="41">
        <v>0</v>
      </c>
    </row>
    <row r="668" spans="1:11" x14ac:dyDescent="0.2">
      <c r="A668" s="1" t="s">
        <v>3123</v>
      </c>
      <c r="C668" s="44">
        <f>-C671</f>
        <v>-12698.412698412698</v>
      </c>
      <c r="D668" s="44">
        <f>C668-D671</f>
        <v>-50158.730158730155</v>
      </c>
      <c r="E668" s="44">
        <f>D668-E671</f>
        <v>-85714.28571428571</v>
      </c>
      <c r="F668" s="44">
        <f>E668-F671</f>
        <v>-119365.07936507935</v>
      </c>
      <c r="G668" s="44">
        <f>F668-G671</f>
        <v>-138253.96825396823</v>
      </c>
      <c r="H668" s="41">
        <v>0</v>
      </c>
    </row>
    <row r="669" spans="1:11" x14ac:dyDescent="0.2">
      <c r="A669" s="1" t="s">
        <v>2007</v>
      </c>
      <c r="C669" s="55">
        <f>SUM(C667:C668)</f>
        <v>487301.58730158728</v>
      </c>
      <c r="D669" s="55">
        <f t="shared" ref="D669:G669" si="10">SUM(D667:D668)</f>
        <v>449841.26984126982</v>
      </c>
      <c r="E669" s="55">
        <f t="shared" si="10"/>
        <v>414285.71428571432</v>
      </c>
      <c r="F669" s="55">
        <f t="shared" si="10"/>
        <v>380634.92063492065</v>
      </c>
      <c r="G669" s="55">
        <f t="shared" si="10"/>
        <v>361746.03174603177</v>
      </c>
      <c r="H669" s="55">
        <v>0</v>
      </c>
    </row>
    <row r="670" spans="1:11" x14ac:dyDescent="0.2">
      <c r="A670" s="2"/>
      <c r="C670" s="41"/>
      <c r="D670" s="41"/>
      <c r="E670" s="41"/>
      <c r="F670" s="41"/>
      <c r="G670" s="41"/>
      <c r="H670" s="41"/>
    </row>
    <row r="671" spans="1:11" x14ac:dyDescent="0.2">
      <c r="A671" s="1" t="s">
        <v>693</v>
      </c>
      <c r="C671" s="41">
        <f>(500000-100000)*20*(4/12)/210</f>
        <v>12698.412698412698</v>
      </c>
      <c r="D671" s="41">
        <f>(500000-100000)*(20*(8/12)+19*(4/12))/210</f>
        <v>37460.317460317456</v>
      </c>
      <c r="E671" s="41">
        <f>(500000-100000)*(19*(8/12)+18*(4/12))/210</f>
        <v>35555.555555555555</v>
      </c>
      <c r="F671" s="41">
        <f>(500000-100000)*(18*(8/12)+17*(4/12))/210</f>
        <v>33650.793650793647</v>
      </c>
      <c r="G671" s="41">
        <f>(500000-100000)*(17*(7/12))/210</f>
        <v>18888.888888888891</v>
      </c>
      <c r="H671" s="41">
        <f>G671</f>
        <v>18888.888888888891</v>
      </c>
      <c r="I671" s="1" t="s">
        <v>3133</v>
      </c>
      <c r="K671" s="1" t="s">
        <v>3135</v>
      </c>
    </row>
    <row r="672" spans="1:11" ht="17" thickBot="1" x14ac:dyDescent="0.25">
      <c r="A672" s="2"/>
      <c r="C672" s="41"/>
      <c r="D672" s="41"/>
      <c r="E672" s="41"/>
      <c r="F672" s="41"/>
      <c r="G672" s="41"/>
      <c r="H672" s="41"/>
      <c r="J672" s="1">
        <f>20*21/2</f>
        <v>210</v>
      </c>
      <c r="K672" s="1" t="s">
        <v>3134</v>
      </c>
    </row>
    <row r="673" spans="1:8" x14ac:dyDescent="0.2">
      <c r="A673" s="1" t="s">
        <v>741</v>
      </c>
      <c r="C673" s="533"/>
      <c r="D673" s="533"/>
      <c r="E673" s="533"/>
      <c r="F673" s="533"/>
      <c r="G673" s="533"/>
      <c r="H673" s="534">
        <v>14000</v>
      </c>
    </row>
    <row r="674" spans="1:8" ht="17" thickBot="1" x14ac:dyDescent="0.25">
      <c r="H674" s="509" t="s">
        <v>1994</v>
      </c>
    </row>
    <row r="685" spans="1:8" x14ac:dyDescent="0.2">
      <c r="A685" s="144" t="s">
        <v>2633</v>
      </c>
    </row>
    <row r="686" spans="1:8" x14ac:dyDescent="0.2">
      <c r="A686" s="1">
        <f>20*21/2</f>
        <v>210</v>
      </c>
      <c r="D686" s="1" t="s">
        <v>2634</v>
      </c>
    </row>
    <row r="688" spans="1:8" x14ac:dyDescent="0.2">
      <c r="A688" s="144" t="s">
        <v>2635</v>
      </c>
    </row>
    <row r="689" spans="1:9" x14ac:dyDescent="0.2">
      <c r="A689" s="144"/>
    </row>
    <row r="690" spans="1:9" x14ac:dyDescent="0.2">
      <c r="A690" s="144"/>
    </row>
    <row r="691" spans="1:9" x14ac:dyDescent="0.2">
      <c r="A691" s="144"/>
    </row>
    <row r="695" spans="1:9" x14ac:dyDescent="0.2">
      <c r="A695" s="144" t="s">
        <v>2636</v>
      </c>
    </row>
    <row r="696" spans="1:9" x14ac:dyDescent="0.2">
      <c r="A696" s="1" t="s">
        <v>2637</v>
      </c>
    </row>
    <row r="697" spans="1:9" x14ac:dyDescent="0.2">
      <c r="A697" s="1" t="s">
        <v>2638</v>
      </c>
      <c r="I697" s="1" t="s">
        <v>2639</v>
      </c>
    </row>
    <row r="699" spans="1:9" x14ac:dyDescent="0.2">
      <c r="D699" s="24">
        <f>400000*(20*4/12)/210</f>
        <v>12698.4126984127</v>
      </c>
      <c r="I699" s="1" t="s">
        <v>2640</v>
      </c>
    </row>
    <row r="702" spans="1:9" x14ac:dyDescent="0.2">
      <c r="F702" s="6" t="s">
        <v>2644</v>
      </c>
      <c r="G702" s="1" t="s">
        <v>2642</v>
      </c>
      <c r="H702" s="1" t="s">
        <v>2641</v>
      </c>
      <c r="I702" s="1" t="s">
        <v>677</v>
      </c>
    </row>
    <row r="703" spans="1:9" x14ac:dyDescent="0.2">
      <c r="F703" s="6" t="s">
        <v>904</v>
      </c>
      <c r="G703" s="1" t="s">
        <v>2643</v>
      </c>
    </row>
    <row r="705" spans="1:9" x14ac:dyDescent="0.2">
      <c r="D705" s="24">
        <f>400000*((20*8/12)+(19*4/12))/210</f>
        <v>37460.317460317463</v>
      </c>
      <c r="I705" s="1" t="s">
        <v>2645</v>
      </c>
    </row>
    <row r="707" spans="1:9" x14ac:dyDescent="0.2">
      <c r="D707" s="24">
        <f>400000*((19*8/12)+(18*4/12))/210</f>
        <v>35555.555555555555</v>
      </c>
      <c r="I707" s="1" t="s">
        <v>2646</v>
      </c>
    </row>
    <row r="708" spans="1:9" x14ac:dyDescent="0.2">
      <c r="D708" s="24"/>
    </row>
    <row r="709" spans="1:9" x14ac:dyDescent="0.2">
      <c r="D709" s="24">
        <f>400000*((18*8/12)+(17*4/12))/210</f>
        <v>33650.793650793654</v>
      </c>
      <c r="I709" s="1" t="s">
        <v>2647</v>
      </c>
    </row>
    <row r="710" spans="1:9" x14ac:dyDescent="0.2">
      <c r="D710" s="24"/>
    </row>
    <row r="711" spans="1:9" x14ac:dyDescent="0.2">
      <c r="A711" s="1" t="s">
        <v>2649</v>
      </c>
      <c r="D711" s="24"/>
    </row>
    <row r="712" spans="1:9" x14ac:dyDescent="0.2">
      <c r="D712" s="24"/>
    </row>
    <row r="713" spans="1:9" x14ac:dyDescent="0.2">
      <c r="D713" s="24">
        <f>400000*(17*7/12)/210</f>
        <v>18888.888888888887</v>
      </c>
      <c r="I713" s="1" t="s">
        <v>2648</v>
      </c>
    </row>
    <row r="714" spans="1:9" x14ac:dyDescent="0.2">
      <c r="D714" s="24"/>
    </row>
    <row r="715" spans="1:9" x14ac:dyDescent="0.2">
      <c r="A715" s="1" t="s">
        <v>2650</v>
      </c>
      <c r="D715" s="24"/>
    </row>
    <row r="716" spans="1:9" x14ac:dyDescent="0.2">
      <c r="D716" s="24"/>
    </row>
    <row r="717" spans="1:9" x14ac:dyDescent="0.2">
      <c r="E717" s="24"/>
      <c r="F717" s="1" t="s">
        <v>2627</v>
      </c>
      <c r="G717" s="1" t="s">
        <v>2628</v>
      </c>
    </row>
    <row r="718" spans="1:9" x14ac:dyDescent="0.2">
      <c r="B718" s="446">
        <v>43465</v>
      </c>
      <c r="C718" s="446">
        <v>43830</v>
      </c>
      <c r="D718" s="446">
        <v>44196</v>
      </c>
      <c r="E718" s="446">
        <v>44561</v>
      </c>
      <c r="F718" s="446">
        <v>44774</v>
      </c>
      <c r="G718" s="446">
        <v>44926</v>
      </c>
    </row>
    <row r="719" spans="1:9" x14ac:dyDescent="0.2">
      <c r="A719" s="1" t="s">
        <v>677</v>
      </c>
      <c r="B719" s="24">
        <v>500000</v>
      </c>
      <c r="C719" s="24">
        <f>B719</f>
        <v>500000</v>
      </c>
      <c r="D719" s="24">
        <f t="shared" ref="D719:F719" si="11">C719</f>
        <v>500000</v>
      </c>
      <c r="E719" s="24">
        <f t="shared" si="11"/>
        <v>500000</v>
      </c>
      <c r="F719" s="24">
        <f t="shared" si="11"/>
        <v>500000</v>
      </c>
      <c r="G719" s="23">
        <v>0</v>
      </c>
    </row>
    <row r="720" spans="1:9" x14ac:dyDescent="0.2">
      <c r="A720" s="1" t="s">
        <v>650</v>
      </c>
      <c r="B720" s="23">
        <f>-D699</f>
        <v>-12698.4126984127</v>
      </c>
      <c r="C720" s="23">
        <f>B720-D705</f>
        <v>-50158.730158730163</v>
      </c>
      <c r="D720" s="23">
        <f>C720-D707</f>
        <v>-85714.28571428571</v>
      </c>
      <c r="E720" s="23">
        <f>D720-D709</f>
        <v>-119365.07936507936</v>
      </c>
      <c r="F720" s="23">
        <f>E720-D713</f>
        <v>-138253.96825396825</v>
      </c>
      <c r="G720" s="23">
        <v>0</v>
      </c>
    </row>
    <row r="721" spans="1:8" x14ac:dyDescent="0.2">
      <c r="A721" s="1" t="s">
        <v>2007</v>
      </c>
      <c r="B721" s="253">
        <f>B719+B720</f>
        <v>487301.58730158728</v>
      </c>
      <c r="C721" s="253">
        <f t="shared" ref="C721" si="12">C719+C720</f>
        <v>449841.26984126982</v>
      </c>
      <c r="D721" s="253">
        <f t="shared" ref="D721" si="13">D719+D720</f>
        <v>414285.71428571432</v>
      </c>
      <c r="E721" s="253">
        <f t="shared" ref="E721" si="14">E719+E720</f>
        <v>380634.92063492065</v>
      </c>
      <c r="F721" s="253">
        <f t="shared" ref="F721" si="15">F719+F720</f>
        <v>361746.03174603172</v>
      </c>
      <c r="G721" s="253">
        <v>0</v>
      </c>
    </row>
    <row r="723" spans="1:8" x14ac:dyDescent="0.2">
      <c r="A723" s="1" t="s">
        <v>2629</v>
      </c>
      <c r="B723" s="24">
        <f>D699</f>
        <v>12698.4126984127</v>
      </c>
      <c r="C723" s="24">
        <f>D705</f>
        <v>37460.317460317463</v>
      </c>
      <c r="D723" s="24">
        <f>D707</f>
        <v>35555.555555555555</v>
      </c>
      <c r="E723" s="24">
        <f>D709</f>
        <v>33650.793650793654</v>
      </c>
      <c r="F723" s="24">
        <f>D713</f>
        <v>18888.888888888887</v>
      </c>
      <c r="G723" s="24">
        <f>F723</f>
        <v>18888.888888888887</v>
      </c>
    </row>
    <row r="724" spans="1:8" x14ac:dyDescent="0.2">
      <c r="B724" s="24"/>
      <c r="C724" s="24"/>
      <c r="D724" s="24"/>
      <c r="E724" s="24"/>
      <c r="F724" s="24"/>
      <c r="G724" s="24"/>
    </row>
    <row r="725" spans="1:8" x14ac:dyDescent="0.2">
      <c r="A725" s="1" t="s">
        <v>741</v>
      </c>
      <c r="B725" s="24"/>
      <c r="C725" s="24"/>
      <c r="D725" s="24"/>
      <c r="E725" s="24"/>
      <c r="F725" s="24"/>
      <c r="G725" s="24">
        <v>14000</v>
      </c>
    </row>
    <row r="726" spans="1:8" x14ac:dyDescent="0.2">
      <c r="D726" s="24"/>
    </row>
    <row r="727" spans="1:8" x14ac:dyDescent="0.2">
      <c r="A727" s="1" t="s">
        <v>2651</v>
      </c>
      <c r="D727" s="24"/>
    </row>
    <row r="728" spans="1:8" x14ac:dyDescent="0.2">
      <c r="A728" s="1" t="s">
        <v>2652</v>
      </c>
      <c r="D728" s="24"/>
    </row>
    <row r="729" spans="1:8" x14ac:dyDescent="0.2">
      <c r="D729" s="24"/>
    </row>
    <row r="730" spans="1:8" x14ac:dyDescent="0.2">
      <c r="B730" s="1" t="s">
        <v>941</v>
      </c>
      <c r="D730" s="6" t="s">
        <v>2654</v>
      </c>
    </row>
    <row r="731" spans="1:8" x14ac:dyDescent="0.2">
      <c r="B731" s="1" t="s">
        <v>1400</v>
      </c>
      <c r="D731" s="44">
        <f>-F721</f>
        <v>-361746.03174603172</v>
      </c>
    </row>
    <row r="732" spans="1:8" x14ac:dyDescent="0.2">
      <c r="B732" s="1" t="s">
        <v>2653</v>
      </c>
      <c r="D732" s="134">
        <v>14000</v>
      </c>
      <c r="E732" s="1" t="s">
        <v>2655</v>
      </c>
    </row>
    <row r="733" spans="1:8" x14ac:dyDescent="0.2">
      <c r="D733" s="24"/>
    </row>
    <row r="734" spans="1:8" x14ac:dyDescent="0.2">
      <c r="A734" s="1" t="s">
        <v>2656</v>
      </c>
      <c r="D734" s="24"/>
      <c r="F734" s="44">
        <f>D732-D731</f>
        <v>375746.03174603172</v>
      </c>
      <c r="G734" s="6" t="s">
        <v>1051</v>
      </c>
    </row>
    <row r="735" spans="1:8" x14ac:dyDescent="0.2">
      <c r="D735" s="24"/>
    </row>
    <row r="736" spans="1:8" x14ac:dyDescent="0.2">
      <c r="A736" s="79" t="s">
        <v>2611</v>
      </c>
      <c r="B736" s="79"/>
      <c r="C736" s="79"/>
      <c r="D736" s="457"/>
      <c r="E736" s="79"/>
      <c r="F736" s="79"/>
      <c r="G736" s="79"/>
      <c r="H736" s="79"/>
    </row>
    <row r="737" spans="1:8" x14ac:dyDescent="0.2">
      <c r="D737" s="24"/>
    </row>
    <row r="738" spans="1:8" x14ac:dyDescent="0.2">
      <c r="A738" s="1" t="s">
        <v>2664</v>
      </c>
      <c r="B738" s="446">
        <v>43465</v>
      </c>
      <c r="C738" s="446">
        <v>43830</v>
      </c>
      <c r="D738" s="446">
        <v>44196</v>
      </c>
      <c r="E738" s="446">
        <v>44561</v>
      </c>
      <c r="F738" s="446">
        <v>44926</v>
      </c>
      <c r="G738" s="24"/>
    </row>
    <row r="739" spans="1:8" x14ac:dyDescent="0.2">
      <c r="A739" s="1" t="s">
        <v>2657</v>
      </c>
      <c r="B739" s="24">
        <v>13333.333333333334</v>
      </c>
      <c r="C739" s="24">
        <v>16000</v>
      </c>
      <c r="D739" s="24">
        <v>16000</v>
      </c>
      <c r="E739" s="24">
        <v>16000</v>
      </c>
      <c r="F739" s="24">
        <v>9333.3333333333339</v>
      </c>
      <c r="G739" s="24"/>
    </row>
    <row r="740" spans="1:8" x14ac:dyDescent="0.2">
      <c r="A740" s="1" t="s">
        <v>2658</v>
      </c>
      <c r="B740" s="24">
        <v>12698.4126984127</v>
      </c>
      <c r="C740" s="24">
        <v>37460.317460317463</v>
      </c>
      <c r="D740" s="24">
        <v>35555.555555555555</v>
      </c>
      <c r="E740" s="24">
        <v>33650.793650793654</v>
      </c>
      <c r="F740" s="24">
        <v>18888.888888888887</v>
      </c>
      <c r="G740" s="24"/>
    </row>
    <row r="741" spans="1:8" x14ac:dyDescent="0.2">
      <c r="A741" s="1" t="s">
        <v>2659</v>
      </c>
      <c r="B741" s="89">
        <f>SUM(B739:B740)</f>
        <v>26031.746031746035</v>
      </c>
      <c r="C741" s="89">
        <f t="shared" ref="C741:F741" si="16">SUM(C739:C740)</f>
        <v>53460.317460317463</v>
      </c>
      <c r="D741" s="89">
        <f t="shared" si="16"/>
        <v>51555.555555555555</v>
      </c>
      <c r="E741" s="89">
        <f t="shared" si="16"/>
        <v>49650.793650793654</v>
      </c>
      <c r="F741" s="89">
        <f t="shared" si="16"/>
        <v>28222.222222222219</v>
      </c>
    </row>
    <row r="742" spans="1:8" x14ac:dyDescent="0.2">
      <c r="D742" s="24"/>
    </row>
    <row r="743" spans="1:8" x14ac:dyDescent="0.2">
      <c r="A743" s="79" t="s">
        <v>2665</v>
      </c>
      <c r="B743" s="79"/>
      <c r="C743" s="79"/>
      <c r="D743" s="457"/>
      <c r="E743" s="79"/>
      <c r="F743" s="79"/>
      <c r="G743" s="79"/>
      <c r="H743" s="79"/>
    </row>
    <row r="744" spans="1:8" x14ac:dyDescent="0.2">
      <c r="B744" s="25" t="s">
        <v>2660</v>
      </c>
      <c r="C744" s="25" t="s">
        <v>2663</v>
      </c>
      <c r="D744" s="25" t="s">
        <v>2662</v>
      </c>
      <c r="E744" s="25" t="s">
        <v>2661</v>
      </c>
      <c r="F744" s="458" t="s">
        <v>272</v>
      </c>
    </row>
    <row r="745" spans="1:8" x14ac:dyDescent="0.2">
      <c r="A745" s="6">
        <v>2018</v>
      </c>
      <c r="B745" s="24">
        <f>B650</f>
        <v>80000</v>
      </c>
      <c r="C745" s="24">
        <f>B719</f>
        <v>500000</v>
      </c>
      <c r="D745" s="23">
        <v>-13333.333333333334</v>
      </c>
      <c r="E745" s="23">
        <v>-12698.4126984127</v>
      </c>
      <c r="F745" s="24">
        <f>SUM(B745:E745)</f>
        <v>553968.25396825396</v>
      </c>
    </row>
    <row r="746" spans="1:8" x14ac:dyDescent="0.2">
      <c r="A746" s="6">
        <v>2019</v>
      </c>
      <c r="B746" s="24">
        <f>B745</f>
        <v>80000</v>
      </c>
      <c r="C746" s="24">
        <f>C745</f>
        <v>500000</v>
      </c>
      <c r="D746" s="23">
        <v>-29333.333333333336</v>
      </c>
      <c r="E746" s="23">
        <v>-50158.730158730163</v>
      </c>
      <c r="F746" s="24">
        <f t="shared" ref="F746:F748" si="17">SUM(B746:E746)</f>
        <v>500507.93650793645</v>
      </c>
    </row>
    <row r="747" spans="1:8" x14ac:dyDescent="0.2">
      <c r="A747" s="6">
        <v>2020</v>
      </c>
      <c r="B747" s="24">
        <f t="shared" ref="B747:B748" si="18">B746</f>
        <v>80000</v>
      </c>
      <c r="C747" s="24">
        <f t="shared" ref="C747:C748" si="19">C746</f>
        <v>500000</v>
      </c>
      <c r="D747" s="23">
        <v>-45333.333333333336</v>
      </c>
      <c r="E747" s="23">
        <v>-85714.28571428571</v>
      </c>
      <c r="F747" s="24">
        <f t="shared" si="17"/>
        <v>448952.38095238095</v>
      </c>
    </row>
    <row r="748" spans="1:8" x14ac:dyDescent="0.2">
      <c r="A748" s="6">
        <v>2021</v>
      </c>
      <c r="B748" s="24">
        <f t="shared" si="18"/>
        <v>80000</v>
      </c>
      <c r="C748" s="24">
        <f t="shared" si="19"/>
        <v>500000</v>
      </c>
      <c r="D748" s="23">
        <v>-61333.333333333336</v>
      </c>
      <c r="E748" s="23">
        <v>-119365.07936507936</v>
      </c>
      <c r="F748" s="24">
        <f t="shared" si="17"/>
        <v>399301.58730158734</v>
      </c>
    </row>
    <row r="749" spans="1:8" x14ac:dyDescent="0.2">
      <c r="A749" s="6">
        <v>2022</v>
      </c>
      <c r="B749" s="1">
        <v>0</v>
      </c>
      <c r="C749" s="1">
        <v>0</v>
      </c>
      <c r="D749" s="1">
        <v>0</v>
      </c>
      <c r="E749" s="1">
        <v>0</v>
      </c>
      <c r="F749" s="1">
        <v>0</v>
      </c>
    </row>
    <row r="751" spans="1:8" x14ac:dyDescent="0.2">
      <c r="A751" s="7" t="s">
        <v>2666</v>
      </c>
      <c r="B751" s="7"/>
      <c r="C751" s="7"/>
      <c r="D751" s="7"/>
      <c r="E751" s="7"/>
      <c r="F751" s="7"/>
      <c r="G751" s="7"/>
      <c r="H751" s="7"/>
    </row>
    <row r="753" spans="1:8" x14ac:dyDescent="0.2">
      <c r="A753" s="144" t="s">
        <v>2667</v>
      </c>
    </row>
    <row r="754" spans="1:8" x14ac:dyDescent="0.2">
      <c r="A754" s="1" t="s">
        <v>2668</v>
      </c>
      <c r="D754" s="6" t="s">
        <v>2669</v>
      </c>
    </row>
    <row r="755" spans="1:8" x14ac:dyDescent="0.2">
      <c r="A755" s="1" t="s">
        <v>2675</v>
      </c>
      <c r="D755" s="6" t="s">
        <v>2669</v>
      </c>
    </row>
    <row r="757" spans="1:8" x14ac:dyDescent="0.2">
      <c r="A757" s="144" t="s">
        <v>2670</v>
      </c>
    </row>
    <row r="758" spans="1:8" x14ac:dyDescent="0.2">
      <c r="A758" s="1" t="s">
        <v>1989</v>
      </c>
      <c r="D758" s="6" t="s">
        <v>2669</v>
      </c>
      <c r="E758" s="1" t="s">
        <v>2672</v>
      </c>
    </row>
    <row r="759" spans="1:8" x14ac:dyDescent="0.2">
      <c r="A759" s="1" t="s">
        <v>2671</v>
      </c>
      <c r="D759" s="6" t="s">
        <v>2669</v>
      </c>
      <c r="E759" s="1" t="s">
        <v>2673</v>
      </c>
    </row>
    <row r="761" spans="1:8" x14ac:dyDescent="0.2">
      <c r="A761" s="144" t="s">
        <v>2674</v>
      </c>
    </row>
    <row r="762" spans="1:8" x14ac:dyDescent="0.2">
      <c r="A762" s="1" t="s">
        <v>1694</v>
      </c>
      <c r="D762" s="6" t="s">
        <v>2669</v>
      </c>
    </row>
    <row r="763" spans="1:8" x14ac:dyDescent="0.2">
      <c r="A763" s="1" t="s">
        <v>2676</v>
      </c>
      <c r="D763" s="6" t="s">
        <v>2677</v>
      </c>
      <c r="E763" s="1" t="s">
        <v>2678</v>
      </c>
    </row>
    <row r="764" spans="1:8" x14ac:dyDescent="0.2">
      <c r="A764" s="1" t="s">
        <v>2679</v>
      </c>
      <c r="D764" s="6" t="s">
        <v>2680</v>
      </c>
      <c r="E764" s="1" t="s">
        <v>2681</v>
      </c>
    </row>
    <row r="765" spans="1:8" x14ac:dyDescent="0.2">
      <c r="A765" s="8" t="s">
        <v>2682</v>
      </c>
      <c r="D765" s="6" t="s">
        <v>2683</v>
      </c>
      <c r="E765" s="1" t="s">
        <v>2685</v>
      </c>
    </row>
    <row r="766" spans="1:8" x14ac:dyDescent="0.2">
      <c r="A766" s="8" t="s">
        <v>2157</v>
      </c>
      <c r="D766" s="6" t="s">
        <v>2684</v>
      </c>
      <c r="E766" s="1" t="s">
        <v>2686</v>
      </c>
    </row>
    <row r="768" spans="1:8" x14ac:dyDescent="0.2">
      <c r="A768" s="7" t="s">
        <v>2687</v>
      </c>
      <c r="B768" s="7"/>
      <c r="C768" s="7"/>
      <c r="D768" s="7"/>
      <c r="E768" s="7"/>
      <c r="F768" s="7"/>
      <c r="G768" s="7"/>
      <c r="H768" s="7"/>
    </row>
    <row r="769" spans="1:7" x14ac:dyDescent="0.2">
      <c r="A769" s="1" t="s">
        <v>2688</v>
      </c>
      <c r="F769"/>
    </row>
    <row r="770" spans="1:7" x14ac:dyDescent="0.2">
      <c r="A770" s="1" t="s">
        <v>2689</v>
      </c>
    </row>
    <row r="771" spans="1:7" x14ac:dyDescent="0.2">
      <c r="A771" s="1" t="s">
        <v>2690</v>
      </c>
    </row>
    <row r="772" spans="1:7" x14ac:dyDescent="0.2">
      <c r="A772" s="1" t="s">
        <v>2691</v>
      </c>
    </row>
    <row r="774" spans="1:7" x14ac:dyDescent="0.2">
      <c r="A774" s="1" t="s">
        <v>2692</v>
      </c>
    </row>
    <row r="775" spans="1:7" x14ac:dyDescent="0.2">
      <c r="A775" s="1" t="s">
        <v>2693</v>
      </c>
    </row>
    <row r="777" spans="1:7" x14ac:dyDescent="0.2">
      <c r="A777" s="2" t="s">
        <v>657</v>
      </c>
    </row>
    <row r="779" spans="1:7" x14ac:dyDescent="0.2">
      <c r="A779" s="459">
        <v>43831</v>
      </c>
      <c r="B779" s="535" t="s">
        <v>2694</v>
      </c>
      <c r="C779" s="535"/>
      <c r="D779" s="535"/>
      <c r="E779" s="13"/>
      <c r="F779" s="13"/>
      <c r="G779" s="12"/>
    </row>
    <row r="780" spans="1:7" x14ac:dyDescent="0.2">
      <c r="B780" s="13" t="s">
        <v>2695</v>
      </c>
      <c r="C780" s="13"/>
      <c r="D780" s="13"/>
      <c r="E780" s="248">
        <v>80000</v>
      </c>
      <c r="F780" s="13"/>
      <c r="G780" s="12"/>
    </row>
    <row r="781" spans="1:7" x14ac:dyDescent="0.2">
      <c r="B781" s="13" t="s">
        <v>2696</v>
      </c>
      <c r="C781" s="13"/>
      <c r="D781" s="13"/>
      <c r="E781" s="248">
        <f>E780</f>
        <v>80000</v>
      </c>
      <c r="F781" s="13"/>
      <c r="G781" s="12"/>
    </row>
    <row r="782" spans="1:7" x14ac:dyDescent="0.2">
      <c r="B782" s="13"/>
      <c r="C782" s="13"/>
      <c r="D782" s="13"/>
      <c r="E782" s="13"/>
      <c r="F782" s="13"/>
      <c r="G782" s="12"/>
    </row>
    <row r="783" spans="1:7" s="13" customFormat="1" x14ac:dyDescent="0.2">
      <c r="A783" s="536">
        <v>44196</v>
      </c>
      <c r="B783" s="535" t="s">
        <v>2697</v>
      </c>
      <c r="C783" s="535"/>
    </row>
    <row r="784" spans="1:7" s="13" customFormat="1" x14ac:dyDescent="0.2">
      <c r="B784" s="13" t="s">
        <v>1989</v>
      </c>
      <c r="E784" s="248">
        <f>80000/8</f>
        <v>10000</v>
      </c>
      <c r="G784" s="13" t="s">
        <v>2698</v>
      </c>
    </row>
    <row r="785" spans="1:11" s="13" customFormat="1" x14ac:dyDescent="0.2">
      <c r="B785" s="13" t="s">
        <v>2671</v>
      </c>
      <c r="E785" s="248">
        <f>E784</f>
        <v>10000</v>
      </c>
    </row>
    <row r="786" spans="1:11" s="13" customFormat="1" x14ac:dyDescent="0.2"/>
    <row r="787" spans="1:11" s="13" customFormat="1" x14ac:dyDescent="0.2">
      <c r="A787" s="536">
        <v>44561</v>
      </c>
      <c r="B787" s="535" t="s">
        <v>2697</v>
      </c>
      <c r="C787" s="535"/>
    </row>
    <row r="788" spans="1:11" s="13" customFormat="1" x14ac:dyDescent="0.2">
      <c r="B788" s="13" t="s">
        <v>1989</v>
      </c>
      <c r="E788" s="248">
        <f>E784</f>
        <v>10000</v>
      </c>
      <c r="G788" s="13" t="s">
        <v>2698</v>
      </c>
    </row>
    <row r="789" spans="1:11" s="13" customFormat="1" x14ac:dyDescent="0.2">
      <c r="B789" s="13" t="s">
        <v>2671</v>
      </c>
      <c r="E789" s="248">
        <f>E788</f>
        <v>10000</v>
      </c>
    </row>
    <row r="790" spans="1:11" s="13" customFormat="1" x14ac:dyDescent="0.2"/>
    <row r="791" spans="1:11" s="13" customFormat="1" x14ac:dyDescent="0.2">
      <c r="B791" s="13" t="s">
        <v>2699</v>
      </c>
    </row>
    <row r="792" spans="1:11" s="13" customFormat="1" x14ac:dyDescent="0.2">
      <c r="B792" s="13" t="s">
        <v>2700</v>
      </c>
    </row>
    <row r="794" spans="1:11" x14ac:dyDescent="0.2">
      <c r="A794" s="459">
        <v>44621</v>
      </c>
      <c r="B794" s="144" t="s">
        <v>3136</v>
      </c>
      <c r="C794" s="144"/>
    </row>
    <row r="795" spans="1:11" x14ac:dyDescent="0.2">
      <c r="B795" s="1" t="s">
        <v>1989</v>
      </c>
      <c r="E795" s="24">
        <f>E788*2/12</f>
        <v>1666.6666666666667</v>
      </c>
      <c r="G795" s="1" t="s">
        <v>2701</v>
      </c>
    </row>
    <row r="796" spans="1:11" x14ac:dyDescent="0.2">
      <c r="B796" s="1" t="s">
        <v>2671</v>
      </c>
      <c r="E796" s="24">
        <f>E795</f>
        <v>1666.6666666666667</v>
      </c>
    </row>
    <row r="797" spans="1:11" x14ac:dyDescent="0.2">
      <c r="E797" s="24"/>
    </row>
    <row r="798" spans="1:11" x14ac:dyDescent="0.2">
      <c r="B798" s="1" t="s">
        <v>3137</v>
      </c>
      <c r="E798" s="24"/>
    </row>
    <row r="799" spans="1:11" x14ac:dyDescent="0.2">
      <c r="E799" s="24"/>
    </row>
    <row r="800" spans="1:11" x14ac:dyDescent="0.2">
      <c r="C800" s="1" t="s">
        <v>677</v>
      </c>
      <c r="E800" s="24">
        <v>80000</v>
      </c>
      <c r="I800" s="1" t="s">
        <v>1399</v>
      </c>
      <c r="K800" s="1">
        <v>37000</v>
      </c>
    </row>
    <row r="801" spans="1:11" x14ac:dyDescent="0.2">
      <c r="C801" s="1" t="s">
        <v>650</v>
      </c>
      <c r="E801" s="24">
        <f>10000*(2+2/12)</f>
        <v>21666.666666666664</v>
      </c>
      <c r="G801" s="1" t="s">
        <v>3138</v>
      </c>
      <c r="I801" s="1" t="s">
        <v>2007</v>
      </c>
      <c r="K801" s="24">
        <f>E802</f>
        <v>58333.333333333336</v>
      </c>
    </row>
    <row r="802" spans="1:11" x14ac:dyDescent="0.2">
      <c r="C802" s="1" t="s">
        <v>2007</v>
      </c>
      <c r="E802" s="24">
        <f>E800-E801</f>
        <v>58333.333333333336</v>
      </c>
      <c r="I802" s="1" t="s">
        <v>729</v>
      </c>
      <c r="K802" s="24">
        <f>K800-K801</f>
        <v>-21333.333333333336</v>
      </c>
    </row>
    <row r="803" spans="1:11" x14ac:dyDescent="0.2">
      <c r="E803" s="24"/>
    </row>
    <row r="804" spans="1:11" x14ac:dyDescent="0.2">
      <c r="A804" s="459">
        <v>44621</v>
      </c>
      <c r="B804" s="144" t="s">
        <v>2702</v>
      </c>
      <c r="C804" s="144"/>
      <c r="E804" s="24"/>
    </row>
    <row r="805" spans="1:11" x14ac:dyDescent="0.2">
      <c r="B805" s="1" t="s">
        <v>1694</v>
      </c>
      <c r="E805" s="24">
        <v>37000</v>
      </c>
      <c r="F805" s="1" t="s">
        <v>3139</v>
      </c>
    </row>
    <row r="806" spans="1:11" x14ac:dyDescent="0.2">
      <c r="B806" s="1" t="s">
        <v>2703</v>
      </c>
      <c r="E806" s="24">
        <f>E780</f>
        <v>80000</v>
      </c>
      <c r="F806" s="1" t="s">
        <v>3140</v>
      </c>
    </row>
    <row r="807" spans="1:11" x14ac:dyDescent="0.2">
      <c r="B807" s="1" t="s">
        <v>2679</v>
      </c>
      <c r="E807" s="24">
        <f>E785+E789+E796</f>
        <v>21666.666666666668</v>
      </c>
      <c r="G807" s="1" t="s">
        <v>2704</v>
      </c>
      <c r="H807" s="1" t="s">
        <v>3141</v>
      </c>
    </row>
    <row r="808" spans="1:11" x14ac:dyDescent="0.2">
      <c r="B808" s="1" t="s">
        <v>2157</v>
      </c>
      <c r="E808" s="24">
        <f>-K802</f>
        <v>21333.333333333336</v>
      </c>
      <c r="F808" s="1" t="s">
        <v>3142</v>
      </c>
    </row>
    <row r="809" spans="1:11" x14ac:dyDescent="0.2">
      <c r="E809" s="24"/>
    </row>
    <row r="810" spans="1:11" x14ac:dyDescent="0.2">
      <c r="E810" s="24"/>
    </row>
    <row r="811" spans="1:11" x14ac:dyDescent="0.2">
      <c r="E811" s="24"/>
    </row>
    <row r="812" spans="1:11" x14ac:dyDescent="0.2">
      <c r="A812" s="143" t="s">
        <v>863</v>
      </c>
      <c r="B812" s="132"/>
      <c r="C812" s="132"/>
      <c r="D812" s="132"/>
      <c r="E812" s="132"/>
      <c r="F812" s="132"/>
      <c r="G812" s="132"/>
      <c r="H812" s="132"/>
    </row>
    <row r="813" spans="1:11" x14ac:dyDescent="0.2">
      <c r="A813" s="1" t="s">
        <v>864</v>
      </c>
    </row>
    <row r="814" spans="1:11" x14ac:dyDescent="0.2">
      <c r="A814" s="1" t="s">
        <v>865</v>
      </c>
    </row>
    <row r="815" spans="1:11" x14ac:dyDescent="0.2">
      <c r="A815" s="1" t="s">
        <v>866</v>
      </c>
    </row>
    <row r="816" spans="1:11" x14ac:dyDescent="0.2">
      <c r="A816" s="1" t="s">
        <v>867</v>
      </c>
    </row>
    <row r="817" spans="1:2" x14ac:dyDescent="0.2">
      <c r="A817" s="1" t="s">
        <v>868</v>
      </c>
    </row>
    <row r="818" spans="1:2" x14ac:dyDescent="0.2">
      <c r="A818" s="1" t="s">
        <v>869</v>
      </c>
    </row>
    <row r="819" spans="1:2" x14ac:dyDescent="0.2">
      <c r="A819" s="1" t="s">
        <v>870</v>
      </c>
    </row>
    <row r="821" spans="1:2" x14ac:dyDescent="0.2">
      <c r="A821" s="1" t="s">
        <v>871</v>
      </c>
    </row>
    <row r="823" spans="1:2" x14ac:dyDescent="0.2">
      <c r="A823" s="1" t="s">
        <v>872</v>
      </c>
      <c r="B823" s="1" t="s">
        <v>873</v>
      </c>
    </row>
    <row r="827" spans="1:2" x14ac:dyDescent="0.2">
      <c r="A827" s="1" t="s">
        <v>874</v>
      </c>
      <c r="B827" s="1" t="s">
        <v>875</v>
      </c>
    </row>
    <row r="828" spans="1:2" x14ac:dyDescent="0.2">
      <c r="B828" s="1" t="s">
        <v>876</v>
      </c>
    </row>
    <row r="830" spans="1:2" x14ac:dyDescent="0.2">
      <c r="A830" s="1" t="s">
        <v>877</v>
      </c>
      <c r="B830" s="1" t="s">
        <v>878</v>
      </c>
    </row>
    <row r="833" spans="1:8" ht="17" thickBot="1" x14ac:dyDescent="0.25"/>
    <row r="834" spans="1:8" x14ac:dyDescent="0.2">
      <c r="A834" s="18" t="s">
        <v>879</v>
      </c>
      <c r="B834" s="100"/>
      <c r="C834" s="100"/>
      <c r="D834" s="100"/>
      <c r="E834" s="100"/>
      <c r="F834" s="100"/>
      <c r="G834" s="100"/>
      <c r="H834" s="19"/>
    </row>
    <row r="835" spans="1:8" x14ac:dyDescent="0.2">
      <c r="A835" s="106" t="s">
        <v>880</v>
      </c>
      <c r="H835" s="107"/>
    </row>
    <row r="836" spans="1:8" x14ac:dyDescent="0.2">
      <c r="A836" s="106" t="s">
        <v>881</v>
      </c>
      <c r="H836" s="107"/>
    </row>
    <row r="837" spans="1:8" x14ac:dyDescent="0.2">
      <c r="A837" s="106" t="s">
        <v>882</v>
      </c>
      <c r="H837" s="107"/>
    </row>
    <row r="838" spans="1:8" x14ac:dyDescent="0.2">
      <c r="A838" s="106" t="s">
        <v>883</v>
      </c>
      <c r="H838" s="107"/>
    </row>
    <row r="839" spans="1:8" x14ac:dyDescent="0.2">
      <c r="A839" s="106"/>
      <c r="H839" s="107"/>
    </row>
    <row r="840" spans="1:8" ht="17" thickBot="1" x14ac:dyDescent="0.25">
      <c r="A840" s="20" t="s">
        <v>884</v>
      </c>
      <c r="B840" s="103"/>
      <c r="C840" s="103"/>
      <c r="D840" s="103"/>
      <c r="E840" s="103"/>
      <c r="F840" s="103"/>
      <c r="G840" s="103"/>
      <c r="H840" s="21"/>
    </row>
    <row r="842" spans="1:8" x14ac:dyDescent="0.2">
      <c r="A842" s="2"/>
      <c r="H842" s="6" t="s">
        <v>789</v>
      </c>
    </row>
    <row r="843" spans="1:8" x14ac:dyDescent="0.2">
      <c r="A843" s="2"/>
      <c r="H843" s="6" t="s">
        <v>790</v>
      </c>
    </row>
    <row r="844" spans="1:8" x14ac:dyDescent="0.2">
      <c r="D844" s="6" t="s">
        <v>777</v>
      </c>
      <c r="E844" s="6" t="s">
        <v>777</v>
      </c>
      <c r="F844" s="6" t="s">
        <v>777</v>
      </c>
      <c r="G844" s="136" t="s">
        <v>778</v>
      </c>
      <c r="H844" s="6" t="s">
        <v>777</v>
      </c>
    </row>
    <row r="845" spans="1:8" x14ac:dyDescent="0.2">
      <c r="D845" s="86">
        <v>43100</v>
      </c>
      <c r="E845" s="86">
        <v>43465</v>
      </c>
      <c r="F845" s="86">
        <v>43830</v>
      </c>
      <c r="G845" s="137"/>
      <c r="H845" s="86">
        <v>44196</v>
      </c>
    </row>
    <row r="846" spans="1:8" x14ac:dyDescent="0.2">
      <c r="A846" s="1" t="s">
        <v>779</v>
      </c>
      <c r="B846" s="1" t="s">
        <v>677</v>
      </c>
      <c r="D846" s="44">
        <v>5000</v>
      </c>
      <c r="E846" s="44">
        <f>D846</f>
        <v>5000</v>
      </c>
      <c r="F846" s="44">
        <f>E846</f>
        <v>5000</v>
      </c>
      <c r="G846" s="138">
        <f>F846</f>
        <v>5000</v>
      </c>
      <c r="H846" s="44">
        <v>0</v>
      </c>
    </row>
    <row r="847" spans="1:8" x14ac:dyDescent="0.2">
      <c r="A847" s="1" t="s">
        <v>781</v>
      </c>
      <c r="B847" s="1" t="s">
        <v>650</v>
      </c>
      <c r="D847" s="44">
        <f>-D850</f>
        <v>-889</v>
      </c>
      <c r="E847" s="44">
        <f>D847-E850</f>
        <v>-1667</v>
      </c>
      <c r="F847" s="44">
        <f>E847-F850</f>
        <v>-2334</v>
      </c>
      <c r="G847" s="138">
        <f>F847-G850</f>
        <v>-2751</v>
      </c>
      <c r="H847" s="44">
        <v>0</v>
      </c>
    </row>
    <row r="848" spans="1:8" x14ac:dyDescent="0.2">
      <c r="A848" s="1" t="s">
        <v>782</v>
      </c>
      <c r="B848" s="1" t="s">
        <v>776</v>
      </c>
      <c r="D848" s="134">
        <f>D846+D847</f>
        <v>4111</v>
      </c>
      <c r="E848" s="134">
        <f>E846+E847</f>
        <v>3333</v>
      </c>
      <c r="F848" s="134">
        <f>F846+F847</f>
        <v>2666</v>
      </c>
      <c r="G848" s="139">
        <f>G846+G847</f>
        <v>2249</v>
      </c>
      <c r="H848" s="134">
        <v>0</v>
      </c>
    </row>
    <row r="849" spans="1:8" x14ac:dyDescent="0.2">
      <c r="G849" s="119"/>
    </row>
    <row r="850" spans="1:8" x14ac:dyDescent="0.2">
      <c r="A850" s="1" t="s">
        <v>780</v>
      </c>
      <c r="B850" s="1" t="s">
        <v>693</v>
      </c>
      <c r="D850" s="41">
        <v>889</v>
      </c>
      <c r="E850" s="6">
        <v>778</v>
      </c>
      <c r="F850" s="6">
        <v>667</v>
      </c>
      <c r="G850" s="136">
        <v>417</v>
      </c>
      <c r="H850" s="6">
        <f>G850</f>
        <v>417</v>
      </c>
    </row>
    <row r="851" spans="1:8" ht="17" thickBot="1" x14ac:dyDescent="0.25">
      <c r="G851" s="119"/>
    </row>
    <row r="852" spans="1:8" ht="17" thickBot="1" x14ac:dyDescent="0.25">
      <c r="A852" s="1" t="s">
        <v>783</v>
      </c>
      <c r="B852" s="1" t="s">
        <v>741</v>
      </c>
      <c r="D852" s="142"/>
      <c r="E852" s="142"/>
      <c r="F852" s="142"/>
      <c r="G852" s="142"/>
      <c r="H852" s="140">
        <f>2400-G848</f>
        <v>151</v>
      </c>
    </row>
    <row r="855" spans="1:8" x14ac:dyDescent="0.2">
      <c r="A855" s="2" t="s">
        <v>791</v>
      </c>
    </row>
    <row r="856" spans="1:8" x14ac:dyDescent="0.2">
      <c r="A856" s="1" t="s">
        <v>885</v>
      </c>
    </row>
    <row r="858" spans="1:8" x14ac:dyDescent="0.2">
      <c r="A858" s="144" t="s">
        <v>872</v>
      </c>
      <c r="B858" s="144" t="s">
        <v>873</v>
      </c>
      <c r="C858" s="144"/>
      <c r="D858" s="144"/>
    </row>
    <row r="862" spans="1:8" x14ac:dyDescent="0.2">
      <c r="B862" s="1" t="s">
        <v>886</v>
      </c>
    </row>
    <row r="863" spans="1:8" x14ac:dyDescent="0.2">
      <c r="B863" s="1" t="s">
        <v>887</v>
      </c>
    </row>
    <row r="867" spans="1:7" x14ac:dyDescent="0.2">
      <c r="A867" s="144" t="s">
        <v>874</v>
      </c>
      <c r="B867" s="144" t="s">
        <v>888</v>
      </c>
      <c r="C867" s="144"/>
    </row>
    <row r="868" spans="1:7" x14ac:dyDescent="0.2">
      <c r="B868" s="1" t="s">
        <v>889</v>
      </c>
    </row>
    <row r="869" spans="1:7" x14ac:dyDescent="0.2">
      <c r="B869" s="1" t="s">
        <v>890</v>
      </c>
    </row>
    <row r="870" spans="1:7" x14ac:dyDescent="0.2">
      <c r="B870" s="1" t="s">
        <v>891</v>
      </c>
    </row>
    <row r="872" spans="1:7" x14ac:dyDescent="0.2">
      <c r="C872" s="1" t="s">
        <v>910</v>
      </c>
    </row>
    <row r="874" spans="1:7" x14ac:dyDescent="0.2">
      <c r="C874" s="145" t="s">
        <v>627</v>
      </c>
    </row>
    <row r="875" spans="1:7" x14ac:dyDescent="0.2">
      <c r="B875" s="6" t="s">
        <v>399</v>
      </c>
      <c r="C875" s="145" t="s">
        <v>895</v>
      </c>
      <c r="D875" s="6" t="s">
        <v>894</v>
      </c>
      <c r="E875" s="6" t="s">
        <v>893</v>
      </c>
      <c r="F875" s="6" t="s">
        <v>892</v>
      </c>
      <c r="G875" s="6" t="s">
        <v>798</v>
      </c>
    </row>
    <row r="878" spans="1:7" x14ac:dyDescent="0.2">
      <c r="C878" s="6">
        <v>5</v>
      </c>
      <c r="D878" s="54">
        <v>6</v>
      </c>
      <c r="E878" s="54">
        <v>7</v>
      </c>
      <c r="F878" s="848">
        <v>8</v>
      </c>
      <c r="G878" s="848"/>
    </row>
    <row r="879" spans="1:7" x14ac:dyDescent="0.2">
      <c r="C879" s="6" t="s">
        <v>898</v>
      </c>
      <c r="D879" s="1" t="s">
        <v>897</v>
      </c>
      <c r="E879" s="1" t="s">
        <v>896</v>
      </c>
      <c r="F879" s="848" t="s">
        <v>672</v>
      </c>
      <c r="G879" s="848"/>
    </row>
    <row r="880" spans="1:7" x14ac:dyDescent="0.2">
      <c r="C880" s="6"/>
      <c r="F880" s="6"/>
      <c r="G880" s="6"/>
    </row>
    <row r="881" spans="1:5" x14ac:dyDescent="0.2">
      <c r="A881" s="144" t="s">
        <v>877</v>
      </c>
      <c r="B881" s="1" t="s">
        <v>900</v>
      </c>
    </row>
    <row r="882" spans="1:5" x14ac:dyDescent="0.2">
      <c r="B882" s="1" t="s">
        <v>899</v>
      </c>
    </row>
    <row r="887" spans="1:5" x14ac:dyDescent="0.2">
      <c r="C887" s="1" t="s">
        <v>901</v>
      </c>
    </row>
    <row r="888" spans="1:5" x14ac:dyDescent="0.2">
      <c r="C888" s="1" t="s">
        <v>902</v>
      </c>
      <c r="E888" s="1" t="s">
        <v>677</v>
      </c>
    </row>
    <row r="893" spans="1:5" x14ac:dyDescent="0.2">
      <c r="C893" s="6" t="s">
        <v>903</v>
      </c>
      <c r="D893" s="1" t="s">
        <v>836</v>
      </c>
    </row>
    <row r="894" spans="1:5" x14ac:dyDescent="0.2">
      <c r="C894" s="6" t="s">
        <v>904</v>
      </c>
    </row>
    <row r="895" spans="1:5" x14ac:dyDescent="0.2">
      <c r="C895" s="6" t="s">
        <v>905</v>
      </c>
    </row>
    <row r="896" spans="1:5" x14ac:dyDescent="0.2">
      <c r="C896" s="6" t="s">
        <v>906</v>
      </c>
    </row>
    <row r="897" spans="1:4" x14ac:dyDescent="0.2">
      <c r="C897" s="6" t="s">
        <v>907</v>
      </c>
    </row>
    <row r="899" spans="1:4" x14ac:dyDescent="0.2">
      <c r="C899" s="1" t="s">
        <v>908</v>
      </c>
    </row>
    <row r="900" spans="1:4" x14ac:dyDescent="0.2">
      <c r="C900" s="1" t="s">
        <v>909</v>
      </c>
    </row>
    <row r="908" spans="1:4" x14ac:dyDescent="0.2">
      <c r="A908" s="1" t="s">
        <v>912</v>
      </c>
      <c r="D908" s="1" t="s">
        <v>911</v>
      </c>
    </row>
    <row r="909" spans="1:4" x14ac:dyDescent="0.2">
      <c r="A909" s="1" t="s">
        <v>913</v>
      </c>
    </row>
    <row r="910" spans="1:4" x14ac:dyDescent="0.2">
      <c r="A910" s="1" t="s">
        <v>914</v>
      </c>
    </row>
    <row r="913" spans="1:4" x14ac:dyDescent="0.2">
      <c r="A913" s="2" t="s">
        <v>915</v>
      </c>
    </row>
    <row r="914" spans="1:4" x14ac:dyDescent="0.2">
      <c r="A914" s="2" t="s">
        <v>916</v>
      </c>
    </row>
    <row r="915" spans="1:4" x14ac:dyDescent="0.2">
      <c r="A915" s="2" t="s">
        <v>917</v>
      </c>
    </row>
    <row r="919" spans="1:4" x14ac:dyDescent="0.2">
      <c r="A919" s="1" t="s">
        <v>919</v>
      </c>
    </row>
    <row r="920" spans="1:4" x14ac:dyDescent="0.2">
      <c r="A920" s="1" t="s">
        <v>918</v>
      </c>
    </row>
    <row r="922" spans="1:4" x14ac:dyDescent="0.2">
      <c r="A922" s="909">
        <f>-G847</f>
        <v>2751</v>
      </c>
    </row>
    <row r="923" spans="1:4" x14ac:dyDescent="0.2">
      <c r="A923" s="909"/>
    </row>
    <row r="925" spans="1:4" x14ac:dyDescent="0.2">
      <c r="A925" s="2" t="s">
        <v>920</v>
      </c>
    </row>
    <row r="926" spans="1:4" x14ac:dyDescent="0.2">
      <c r="A926" s="1" t="s">
        <v>921</v>
      </c>
    </row>
    <row r="927" spans="1:4" x14ac:dyDescent="0.2">
      <c r="A927" s="1" t="s">
        <v>922</v>
      </c>
    </row>
    <row r="928" spans="1:4" x14ac:dyDescent="0.2">
      <c r="B928" s="1" t="s">
        <v>926</v>
      </c>
      <c r="D928" s="41">
        <v>2400</v>
      </c>
    </row>
    <row r="929" spans="1:8" ht="17" thickBot="1" x14ac:dyDescent="0.25">
      <c r="B929" s="1" t="s">
        <v>923</v>
      </c>
      <c r="D929" s="41">
        <f>5000-A922</f>
        <v>2249</v>
      </c>
    </row>
    <row r="930" spans="1:8" ht="17" thickBot="1" x14ac:dyDescent="0.25">
      <c r="B930" s="1" t="s">
        <v>924</v>
      </c>
      <c r="D930" s="124">
        <f>D928-D929</f>
        <v>151</v>
      </c>
      <c r="F930" s="1" t="s">
        <v>925</v>
      </c>
    </row>
    <row r="935" spans="1:8" x14ac:dyDescent="0.2">
      <c r="A935" s="132" t="s">
        <v>927</v>
      </c>
      <c r="B935" s="132"/>
      <c r="C935" s="132"/>
      <c r="D935" s="132"/>
      <c r="E935" s="132"/>
      <c r="F935" s="132"/>
      <c r="G935" s="132"/>
      <c r="H935" s="132"/>
    </row>
    <row r="936" spans="1:8" ht="17" thickBot="1" x14ac:dyDescent="0.25"/>
    <row r="937" spans="1:8" x14ac:dyDescent="0.2">
      <c r="A937" s="18" t="s">
        <v>879</v>
      </c>
      <c r="B937" s="100"/>
      <c r="C937" s="100"/>
      <c r="D937" s="100"/>
      <c r="E937" s="100"/>
      <c r="F937" s="100"/>
      <c r="G937" s="100"/>
      <c r="H937" s="19"/>
    </row>
    <row r="938" spans="1:8" x14ac:dyDescent="0.2">
      <c r="A938" s="106" t="s">
        <v>928</v>
      </c>
      <c r="H938" s="107"/>
    </row>
    <row r="939" spans="1:8" x14ac:dyDescent="0.2">
      <c r="A939" s="106" t="s">
        <v>929</v>
      </c>
      <c r="H939" s="107"/>
    </row>
    <row r="940" spans="1:8" x14ac:dyDescent="0.2">
      <c r="A940" s="106" t="s">
        <v>882</v>
      </c>
      <c r="H940" s="107"/>
    </row>
    <row r="941" spans="1:8" x14ac:dyDescent="0.2">
      <c r="A941" s="106" t="s">
        <v>930</v>
      </c>
      <c r="H941" s="107"/>
    </row>
    <row r="942" spans="1:8" x14ac:dyDescent="0.2">
      <c r="A942" s="106"/>
      <c r="H942" s="107"/>
    </row>
    <row r="943" spans="1:8" ht="17" thickBot="1" x14ac:dyDescent="0.25">
      <c r="A943" s="20" t="s">
        <v>931</v>
      </c>
      <c r="B943" s="103"/>
      <c r="C943" s="103"/>
      <c r="D943" s="103"/>
      <c r="E943" s="103"/>
      <c r="F943" s="103"/>
      <c r="G943" s="103"/>
      <c r="H943" s="21"/>
    </row>
    <row r="944" spans="1:8" ht="17" thickBot="1" x14ac:dyDescent="0.25">
      <c r="A944" s="146" t="s">
        <v>932</v>
      </c>
      <c r="B944" s="121"/>
      <c r="C944" s="121"/>
      <c r="D944" s="121"/>
      <c r="E944" s="121"/>
      <c r="F944" s="121"/>
      <c r="G944" s="121"/>
      <c r="H944" s="147"/>
    </row>
    <row r="946" spans="1:9" x14ac:dyDescent="0.2">
      <c r="A946" s="3" t="s">
        <v>936</v>
      </c>
    </row>
    <row r="947" spans="1:9" x14ac:dyDescent="0.2">
      <c r="A947" s="2" t="s">
        <v>933</v>
      </c>
      <c r="B947" s="1">
        <f>10*11/2</f>
        <v>55</v>
      </c>
      <c r="D947" s="1" t="s">
        <v>934</v>
      </c>
      <c r="H947" s="6" t="s">
        <v>789</v>
      </c>
    </row>
    <row r="948" spans="1:9" x14ac:dyDescent="0.2">
      <c r="A948" s="2"/>
      <c r="H948" s="6" t="s">
        <v>790</v>
      </c>
    </row>
    <row r="949" spans="1:9" x14ac:dyDescent="0.2">
      <c r="D949" s="6" t="s">
        <v>777</v>
      </c>
      <c r="E949" s="6" t="s">
        <v>777</v>
      </c>
      <c r="F949" s="6" t="s">
        <v>777</v>
      </c>
      <c r="G949" s="136" t="s">
        <v>778</v>
      </c>
      <c r="H949" s="6" t="s">
        <v>777</v>
      </c>
    </row>
    <row r="950" spans="1:9" x14ac:dyDescent="0.2">
      <c r="D950" s="86">
        <v>43100</v>
      </c>
      <c r="E950" s="86">
        <v>43465</v>
      </c>
      <c r="F950" s="86">
        <v>43830</v>
      </c>
      <c r="G950" s="137">
        <v>43922</v>
      </c>
      <c r="H950" s="86">
        <v>44196</v>
      </c>
    </row>
    <row r="951" spans="1:9" x14ac:dyDescent="0.2">
      <c r="A951" s="1" t="s">
        <v>779</v>
      </c>
      <c r="B951" s="1" t="s">
        <v>677</v>
      </c>
      <c r="D951" s="44">
        <v>60000</v>
      </c>
      <c r="E951" s="44">
        <f>D951</f>
        <v>60000</v>
      </c>
      <c r="F951" s="44">
        <f>E951</f>
        <v>60000</v>
      </c>
      <c r="G951" s="138">
        <f>F951</f>
        <v>60000</v>
      </c>
      <c r="H951" s="44">
        <v>0</v>
      </c>
    </row>
    <row r="952" spans="1:9" x14ac:dyDescent="0.2">
      <c r="A952" s="1" t="s">
        <v>781</v>
      </c>
      <c r="B952" s="1" t="s">
        <v>650</v>
      </c>
      <c r="D952" s="44">
        <f>-D955</f>
        <v>-10909.09090909091</v>
      </c>
      <c r="E952" s="44">
        <f>D952-E955</f>
        <v>-20727.272727272728</v>
      </c>
      <c r="F952" s="44">
        <f>E952-F955</f>
        <v>-29454.545454545456</v>
      </c>
      <c r="G952" s="138">
        <f>F952-G955</f>
        <v>-31363.636363636364</v>
      </c>
      <c r="H952" s="44">
        <v>0</v>
      </c>
    </row>
    <row r="953" spans="1:9" x14ac:dyDescent="0.2">
      <c r="A953" s="1" t="s">
        <v>782</v>
      </c>
      <c r="B953" s="1" t="s">
        <v>776</v>
      </c>
      <c r="D953" s="134">
        <f>D951+D952</f>
        <v>49090.909090909088</v>
      </c>
      <c r="E953" s="134">
        <f t="shared" ref="E953:F953" si="20">E951+E952</f>
        <v>39272.727272727272</v>
      </c>
      <c r="F953" s="134">
        <f t="shared" si="20"/>
        <v>30545.454545454544</v>
      </c>
      <c r="G953" s="139">
        <f>G951+G952</f>
        <v>28636.363636363636</v>
      </c>
      <c r="H953" s="134">
        <v>0</v>
      </c>
    </row>
    <row r="954" spans="1:9" x14ac:dyDescent="0.2">
      <c r="G954" s="119"/>
    </row>
    <row r="955" spans="1:9" x14ac:dyDescent="0.2">
      <c r="A955" s="1" t="s">
        <v>780</v>
      </c>
      <c r="B955" s="1" t="s">
        <v>693</v>
      </c>
      <c r="D955" s="41">
        <f>(60000-0)*10/55</f>
        <v>10909.09090909091</v>
      </c>
      <c r="E955" s="41">
        <f>(60000-0)*9/55</f>
        <v>9818.181818181818</v>
      </c>
      <c r="F955" s="41">
        <f>(60000-0)*8/55</f>
        <v>8727.2727272727279</v>
      </c>
      <c r="G955" s="138">
        <f>(60000-0)*(7*3/12)/55</f>
        <v>1909.090909090909</v>
      </c>
      <c r="H955" s="44">
        <f>G955</f>
        <v>1909.090909090909</v>
      </c>
    </row>
    <row r="956" spans="1:9" ht="17" thickBot="1" x14ac:dyDescent="0.25">
      <c r="G956" s="119"/>
    </row>
    <row r="957" spans="1:9" ht="17" thickBot="1" x14ac:dyDescent="0.25">
      <c r="A957" s="1" t="s">
        <v>783</v>
      </c>
      <c r="B957" s="1" t="s">
        <v>741</v>
      </c>
      <c r="D957" s="142"/>
      <c r="E957" s="142"/>
      <c r="F957" s="142"/>
      <c r="G957" s="142"/>
      <c r="H957" s="140">
        <f>33000-G953</f>
        <v>4363.636363636364</v>
      </c>
      <c r="I957" s="28" t="s">
        <v>935</v>
      </c>
    </row>
    <row r="959" spans="1:9" x14ac:dyDescent="0.2">
      <c r="A959" s="3" t="s">
        <v>937</v>
      </c>
    </row>
    <row r="960" spans="1:9" x14ac:dyDescent="0.2">
      <c r="A960" s="1" t="s">
        <v>940</v>
      </c>
    </row>
    <row r="968" spans="1:3" x14ac:dyDescent="0.2">
      <c r="A968" s="1" t="s">
        <v>938</v>
      </c>
    </row>
    <row r="969" spans="1:3" x14ac:dyDescent="0.2">
      <c r="A969" s="1" t="s">
        <v>939</v>
      </c>
    </row>
    <row r="971" spans="1:3" x14ac:dyDescent="0.2">
      <c r="B971" s="1" t="s">
        <v>677</v>
      </c>
      <c r="C971" s="24">
        <v>60000</v>
      </c>
    </row>
    <row r="972" spans="1:3" ht="17" thickBot="1" x14ac:dyDescent="0.25">
      <c r="B972" s="1" t="s">
        <v>650</v>
      </c>
      <c r="C972" s="24">
        <v>-7636</v>
      </c>
    </row>
    <row r="973" spans="1:3" ht="17" thickBot="1" x14ac:dyDescent="0.25">
      <c r="B973" s="1" t="s">
        <v>678</v>
      </c>
      <c r="C973" s="26">
        <f>C971+C972</f>
        <v>52364</v>
      </c>
    </row>
    <row r="975" spans="1:3" x14ac:dyDescent="0.2">
      <c r="B975" s="1" t="s">
        <v>941</v>
      </c>
      <c r="C975" s="24">
        <v>33000</v>
      </c>
    </row>
    <row r="976" spans="1:3" ht="17" thickBot="1" x14ac:dyDescent="0.25">
      <c r="B976" s="1" t="s">
        <v>942</v>
      </c>
      <c r="C976" s="24">
        <f>-C973</f>
        <v>-52364</v>
      </c>
    </row>
    <row r="977" spans="1:11" ht="17" thickBot="1" x14ac:dyDescent="0.25">
      <c r="B977" s="1" t="s">
        <v>729</v>
      </c>
      <c r="C977" s="148">
        <f>C975+C976</f>
        <v>-19364</v>
      </c>
      <c r="D977" s="1" t="s">
        <v>943</v>
      </c>
    </row>
    <row r="979" spans="1:11" x14ac:dyDescent="0.2">
      <c r="A979" s="538" t="s">
        <v>3156</v>
      </c>
      <c r="B979" s="538"/>
      <c r="C979" s="538"/>
      <c r="D979" s="538"/>
      <c r="E979" s="538"/>
      <c r="F979" s="538"/>
      <c r="G979" s="538"/>
      <c r="H979" s="538"/>
    </row>
    <row r="984" spans="1:11" x14ac:dyDescent="0.2">
      <c r="I984" s="1" t="s">
        <v>3143</v>
      </c>
    </row>
    <row r="985" spans="1:11" x14ac:dyDescent="0.2">
      <c r="I985" s="1" t="s">
        <v>3144</v>
      </c>
    </row>
    <row r="986" spans="1:11" x14ac:dyDescent="0.2">
      <c r="K986" s="1" t="s">
        <v>3145</v>
      </c>
    </row>
    <row r="987" spans="1:11" x14ac:dyDescent="0.2">
      <c r="I987" s="1" t="s">
        <v>3146</v>
      </c>
    </row>
    <row r="988" spans="1:11" x14ac:dyDescent="0.2">
      <c r="I988" s="1" t="s">
        <v>3147</v>
      </c>
    </row>
    <row r="989" spans="1:11" x14ac:dyDescent="0.2">
      <c r="I989" s="1" t="s">
        <v>3148</v>
      </c>
    </row>
    <row r="990" spans="1:11" x14ac:dyDescent="0.2">
      <c r="I990" s="1" t="s">
        <v>3149</v>
      </c>
    </row>
    <row r="991" spans="1:11" x14ac:dyDescent="0.2">
      <c r="J991" s="1" t="s">
        <v>3150</v>
      </c>
    </row>
    <row r="992" spans="1:11" x14ac:dyDescent="0.2">
      <c r="J992" s="1" t="s">
        <v>3151</v>
      </c>
    </row>
    <row r="993" spans="1:11" x14ac:dyDescent="0.2">
      <c r="J993" s="1" t="s">
        <v>3152</v>
      </c>
    </row>
    <row r="996" spans="1:11" x14ac:dyDescent="0.2">
      <c r="F996" s="1" t="s">
        <v>3125</v>
      </c>
      <c r="G996" s="1" t="s">
        <v>2628</v>
      </c>
      <c r="I996" s="1" t="s">
        <v>3153</v>
      </c>
    </row>
    <row r="997" spans="1:11" x14ac:dyDescent="0.2">
      <c r="D997" s="446">
        <v>44926</v>
      </c>
      <c r="E997" s="446">
        <v>45291</v>
      </c>
      <c r="F997" s="446">
        <v>45536</v>
      </c>
      <c r="G997" s="446">
        <v>45657</v>
      </c>
      <c r="J997" s="1">
        <f>15</f>
        <v>15</v>
      </c>
      <c r="K997" s="1" t="s">
        <v>3154</v>
      </c>
    </row>
    <row r="998" spans="1:11" x14ac:dyDescent="0.2">
      <c r="B998" s="1" t="s">
        <v>677</v>
      </c>
      <c r="D998" s="23">
        <f>750000+90000+30000</f>
        <v>870000</v>
      </c>
      <c r="E998" s="23">
        <f>750000+90000+30000</f>
        <v>870000</v>
      </c>
      <c r="F998" s="23">
        <f>750000+90000+30000</f>
        <v>870000</v>
      </c>
      <c r="G998" s="23">
        <v>0</v>
      </c>
    </row>
    <row r="999" spans="1:11" x14ac:dyDescent="0.2">
      <c r="B999" s="1" t="s">
        <v>650</v>
      </c>
      <c r="D999" s="23">
        <f>-D1002</f>
        <v>-133333.33333333334</v>
      </c>
      <c r="E999" s="23">
        <f>D999-E1002</f>
        <v>-373333.33333333337</v>
      </c>
      <c r="F999" s="23">
        <f>E999-F1002</f>
        <v>-506666.66666666674</v>
      </c>
      <c r="G999" s="23">
        <v>0</v>
      </c>
    </row>
    <row r="1000" spans="1:11" x14ac:dyDescent="0.2">
      <c r="B1000" s="1" t="s">
        <v>2007</v>
      </c>
      <c r="D1000" s="253">
        <f>D998+D999</f>
        <v>736666.66666666663</v>
      </c>
      <c r="E1000" s="253">
        <f>E998+E999</f>
        <v>496666.66666666663</v>
      </c>
      <c r="F1000" s="253">
        <f>F998+F999</f>
        <v>363333.33333333326</v>
      </c>
      <c r="G1000" s="253">
        <v>0</v>
      </c>
    </row>
    <row r="1001" spans="1:11" x14ac:dyDescent="0.2">
      <c r="D1001" s="23"/>
      <c r="E1001" s="23"/>
      <c r="F1001" s="23"/>
      <c r="G1001" s="23"/>
    </row>
    <row r="1002" spans="1:11" x14ac:dyDescent="0.2">
      <c r="B1002" s="1" t="s">
        <v>693</v>
      </c>
      <c r="D1002" s="23">
        <f>(870000-70000)*(5*(6/12))/15</f>
        <v>133333.33333333334</v>
      </c>
      <c r="E1002" s="23">
        <f>(870000-70000)*(5*(6/12)+4*(6/12))/15</f>
        <v>240000</v>
      </c>
      <c r="F1002" s="23">
        <f>(870000-70000)*(4*(6/12)+3*(2/12))/15</f>
        <v>133333.33333333334</v>
      </c>
      <c r="G1002" s="23">
        <f>F1002</f>
        <v>133333.33333333334</v>
      </c>
    </row>
    <row r="1003" spans="1:11" x14ac:dyDescent="0.2">
      <c r="D1003" s="23"/>
      <c r="E1003" s="23"/>
      <c r="F1003" s="23"/>
      <c r="G1003" s="23"/>
    </row>
    <row r="1004" spans="1:11" x14ac:dyDescent="0.2">
      <c r="B1004" s="1" t="s">
        <v>741</v>
      </c>
      <c r="D1004" s="23"/>
      <c r="E1004" s="23"/>
      <c r="F1004" s="23"/>
      <c r="G1004" s="23">
        <f>430000-F1000</f>
        <v>66666.666666666744</v>
      </c>
      <c r="I1004" s="1" t="s">
        <v>3155</v>
      </c>
    </row>
    <row r="1006" spans="1:11" x14ac:dyDescent="0.2">
      <c r="A1006" s="538" t="s">
        <v>3157</v>
      </c>
      <c r="B1006" s="537"/>
      <c r="C1006" s="537"/>
      <c r="D1006" s="537"/>
      <c r="E1006" s="537"/>
      <c r="F1006" s="537"/>
      <c r="G1006" s="537"/>
      <c r="H1006" s="537"/>
    </row>
    <row r="1009" spans="9:11" x14ac:dyDescent="0.2">
      <c r="I1009" s="1" t="s">
        <v>3143</v>
      </c>
    </row>
    <row r="1010" spans="9:11" x14ac:dyDescent="0.2">
      <c r="I1010" s="1" t="s">
        <v>3144</v>
      </c>
    </row>
    <row r="1011" spans="9:11" x14ac:dyDescent="0.2">
      <c r="K1011" s="1" t="s">
        <v>3145</v>
      </c>
    </row>
    <row r="1012" spans="9:11" x14ac:dyDescent="0.2">
      <c r="I1012" s="1" t="s">
        <v>3146</v>
      </c>
    </row>
    <row r="1013" spans="9:11" x14ac:dyDescent="0.2">
      <c r="I1013" s="1" t="s">
        <v>3147</v>
      </c>
    </row>
    <row r="1014" spans="9:11" x14ac:dyDescent="0.2">
      <c r="I1014" s="1" t="s">
        <v>3148</v>
      </c>
    </row>
    <row r="1015" spans="9:11" x14ac:dyDescent="0.2">
      <c r="I1015" s="1" t="s">
        <v>3149</v>
      </c>
    </row>
    <row r="1016" spans="9:11" x14ac:dyDescent="0.2">
      <c r="J1016" s="1" t="s">
        <v>3150</v>
      </c>
    </row>
    <row r="1017" spans="9:11" x14ac:dyDescent="0.2">
      <c r="J1017" s="1" t="s">
        <v>3151</v>
      </c>
    </row>
    <row r="1018" spans="9:11" x14ac:dyDescent="0.2">
      <c r="J1018" s="1" t="s">
        <v>3152</v>
      </c>
    </row>
    <row r="1025" spans="3:12" x14ac:dyDescent="0.2">
      <c r="D1025" s="6"/>
      <c r="E1025" s="6"/>
      <c r="F1025" s="6" t="s">
        <v>3125</v>
      </c>
      <c r="G1025" s="6"/>
      <c r="J1025" s="1" t="s">
        <v>3160</v>
      </c>
    </row>
    <row r="1026" spans="3:12" x14ac:dyDescent="0.2">
      <c r="D1026" s="86">
        <v>44926</v>
      </c>
      <c r="E1026" s="86">
        <v>45291</v>
      </c>
      <c r="F1026" s="86">
        <v>45597</v>
      </c>
      <c r="G1026" s="86">
        <v>45657</v>
      </c>
      <c r="J1026" s="1" t="s">
        <v>3161</v>
      </c>
    </row>
    <row r="1027" spans="3:12" x14ac:dyDescent="0.2">
      <c r="C1027" s="1" t="s">
        <v>3158</v>
      </c>
      <c r="D1027" s="44">
        <f>800000+140000+50000+40000</f>
        <v>1030000</v>
      </c>
      <c r="E1027" s="44">
        <f>D1027</f>
        <v>1030000</v>
      </c>
      <c r="F1027" s="44">
        <f>E1027</f>
        <v>1030000</v>
      </c>
      <c r="G1027" s="44">
        <v>0</v>
      </c>
      <c r="J1027" s="1" t="s">
        <v>3162</v>
      </c>
    </row>
    <row r="1028" spans="3:12" x14ac:dyDescent="0.2">
      <c r="C1028" s="1" t="s">
        <v>2360</v>
      </c>
      <c r="D1028" s="44">
        <f>-D1031</f>
        <v>-57222.222222222219</v>
      </c>
      <c r="E1028" s="44">
        <f>D1028-E1031</f>
        <v>-221736.11111111109</v>
      </c>
      <c r="F1028" s="44">
        <f>E1028-F1031</f>
        <v>-343333.33333333331</v>
      </c>
      <c r="G1028" s="44">
        <v>0</v>
      </c>
      <c r="J1028" s="1" t="s">
        <v>3163</v>
      </c>
    </row>
    <row r="1029" spans="3:12" x14ac:dyDescent="0.2">
      <c r="C1029" s="1" t="s">
        <v>3159</v>
      </c>
      <c r="D1029" s="134">
        <f>D1027+D1028</f>
        <v>972777.77777777775</v>
      </c>
      <c r="E1029" s="134">
        <f>E1027+E1028</f>
        <v>808263.88888888888</v>
      </c>
      <c r="F1029" s="134">
        <f>F1027+F1028</f>
        <v>686666.66666666674</v>
      </c>
      <c r="G1029" s="134">
        <v>0</v>
      </c>
      <c r="J1029" s="1" t="s">
        <v>3164</v>
      </c>
    </row>
    <row r="1030" spans="3:12" x14ac:dyDescent="0.2">
      <c r="D1030" s="44"/>
      <c r="E1030" s="44"/>
      <c r="F1030" s="44"/>
      <c r="G1030" s="44"/>
    </row>
    <row r="1031" spans="3:12" x14ac:dyDescent="0.2">
      <c r="C1031" s="1" t="s">
        <v>2664</v>
      </c>
      <c r="D1031" s="44">
        <f>(1030000-25%*1030000)*(8*(4/12))/36</f>
        <v>57222.222222222219</v>
      </c>
      <c r="E1031" s="44">
        <f>(1030000-25%*1030000)*(8*(8/12)+7*(4/12))/36</f>
        <v>164513.88888888888</v>
      </c>
      <c r="F1031" s="44">
        <f>(1030000-25%*1030000)*(7*(8/12)+6*(2/12))/36</f>
        <v>121597.22222222222</v>
      </c>
      <c r="G1031" s="44">
        <f>F1031</f>
        <v>121597.22222222222</v>
      </c>
      <c r="J1031" s="1" t="s">
        <v>933</v>
      </c>
      <c r="K1031" s="1">
        <v>36</v>
      </c>
      <c r="L1031" s="1" t="s">
        <v>3165</v>
      </c>
    </row>
    <row r="1032" spans="3:12" x14ac:dyDescent="0.2">
      <c r="D1032" s="44"/>
      <c r="E1032" s="44"/>
      <c r="F1032" s="44"/>
      <c r="G1032" s="44"/>
    </row>
    <row r="1033" spans="3:12" x14ac:dyDescent="0.2">
      <c r="C1033" s="1" t="s">
        <v>729</v>
      </c>
      <c r="D1033" s="44"/>
      <c r="E1033" s="44"/>
      <c r="F1033" s="44"/>
      <c r="G1033" s="44">
        <f>686667*(1-30%)-686667</f>
        <v>-206000.10000000003</v>
      </c>
    </row>
  </sheetData>
  <mergeCells count="10">
    <mergeCell ref="A1:H1"/>
    <mergeCell ref="F878:G878"/>
    <mergeCell ref="F879:G879"/>
    <mergeCell ref="A922:A923"/>
    <mergeCell ref="C324:D324"/>
    <mergeCell ref="H564:I564"/>
    <mergeCell ref="H565:I565"/>
    <mergeCell ref="H566:I566"/>
    <mergeCell ref="E471:G472"/>
    <mergeCell ref="E473:G474"/>
  </mergeCells>
  <pageMargins left="0.7" right="0.7" top="0.75" bottom="0.75" header="0.3" footer="0.3"/>
  <ignoredErrors>
    <ignoredError sqref="B741:F741" formulaRange="1"/>
  </ignoredErrors>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DC036-BA95-6B46-96B3-9BA832E23463}">
  <dimension ref="A1:L546"/>
  <sheetViews>
    <sheetView rightToLeft="1" topLeftCell="A349" zoomScale="303" zoomScaleNormal="360" workbookViewId="0">
      <selection activeCell="J501" sqref="J501"/>
    </sheetView>
  </sheetViews>
  <sheetFormatPr baseColWidth="10" defaultRowHeight="16" x14ac:dyDescent="0.2"/>
  <cols>
    <col min="1" max="16384" width="10.83203125" style="1"/>
  </cols>
  <sheetData>
    <row r="1" spans="1:8" x14ac:dyDescent="0.2">
      <c r="A1" s="7" t="s">
        <v>4008</v>
      </c>
      <c r="B1" s="7"/>
      <c r="C1" s="7"/>
      <c r="D1" s="7"/>
      <c r="E1" s="7"/>
      <c r="F1" s="7"/>
      <c r="G1" s="7"/>
      <c r="H1" s="250">
        <v>46008</v>
      </c>
    </row>
    <row r="3" spans="1:8" x14ac:dyDescent="0.2">
      <c r="A3" s="2" t="s">
        <v>4009</v>
      </c>
    </row>
    <row r="4" spans="1:8" x14ac:dyDescent="0.2">
      <c r="A4" s="1" t="s">
        <v>4010</v>
      </c>
    </row>
    <row r="6" spans="1:8" x14ac:dyDescent="0.2">
      <c r="A6" s="2" t="s">
        <v>4011</v>
      </c>
    </row>
    <row r="7" spans="1:8" x14ac:dyDescent="0.2">
      <c r="A7" s="1" t="s">
        <v>4012</v>
      </c>
    </row>
    <row r="8" spans="1:8" x14ac:dyDescent="0.2">
      <c r="A8" s="1" t="s">
        <v>4209</v>
      </c>
    </row>
    <row r="9" spans="1:8" x14ac:dyDescent="0.2">
      <c r="A9" s="1" t="s">
        <v>4013</v>
      </c>
    </row>
    <row r="10" spans="1:8" x14ac:dyDescent="0.2">
      <c r="A10" s="1" t="s">
        <v>4014</v>
      </c>
    </row>
    <row r="12" spans="1:8" x14ac:dyDescent="0.2">
      <c r="A12" s="2" t="s">
        <v>4015</v>
      </c>
    </row>
    <row r="13" spans="1:8" x14ac:dyDescent="0.2">
      <c r="A13" s="1" t="s">
        <v>4016</v>
      </c>
    </row>
    <row r="14" spans="1:8" x14ac:dyDescent="0.2">
      <c r="A14" s="1" t="s">
        <v>4017</v>
      </c>
    </row>
    <row r="15" spans="1:8" x14ac:dyDescent="0.2">
      <c r="A15" s="1" t="s">
        <v>4018</v>
      </c>
    </row>
    <row r="16" spans="1:8" x14ac:dyDescent="0.2">
      <c r="A16" s="1" t="s">
        <v>4019</v>
      </c>
    </row>
    <row r="18" spans="1:8" ht="23" x14ac:dyDescent="0.25">
      <c r="A18" s="655" t="s">
        <v>4210</v>
      </c>
      <c r="B18" s="655"/>
      <c r="C18" s="655"/>
      <c r="D18" s="655"/>
      <c r="E18" s="655"/>
      <c r="F18" s="655"/>
      <c r="G18" s="655"/>
      <c r="H18" s="655"/>
    </row>
    <row r="21" spans="1:8" x14ac:dyDescent="0.2">
      <c r="A21" s="7" t="s">
        <v>4020</v>
      </c>
      <c r="B21" s="7"/>
      <c r="C21" s="7"/>
      <c r="D21" s="7"/>
      <c r="E21" s="7"/>
      <c r="F21" s="7"/>
      <c r="G21" s="7"/>
      <c r="H21" s="7"/>
    </row>
    <row r="23" spans="1:8" x14ac:dyDescent="0.2">
      <c r="A23" s="1" t="s">
        <v>4021</v>
      </c>
    </row>
    <row r="25" spans="1:8" x14ac:dyDescent="0.2">
      <c r="B25" s="36" t="s">
        <v>4022</v>
      </c>
      <c r="C25" s="36" t="s">
        <v>4023</v>
      </c>
      <c r="D25" s="36" t="s">
        <v>677</v>
      </c>
      <c r="E25" s="36" t="s">
        <v>1011</v>
      </c>
      <c r="F25" s="36" t="s">
        <v>4024</v>
      </c>
      <c r="G25" s="36" t="s">
        <v>4025</v>
      </c>
    </row>
    <row r="26" spans="1:8" x14ac:dyDescent="0.2">
      <c r="B26" s="6" t="s">
        <v>4026</v>
      </c>
      <c r="C26" s="448">
        <v>43831</v>
      </c>
      <c r="D26" s="41">
        <v>400000</v>
      </c>
      <c r="E26" s="41">
        <v>50000</v>
      </c>
      <c r="F26" s="6" t="s">
        <v>1010</v>
      </c>
      <c r="G26" s="6">
        <v>10</v>
      </c>
    </row>
    <row r="27" spans="1:8" x14ac:dyDescent="0.2">
      <c r="B27" s="6" t="s">
        <v>4027</v>
      </c>
      <c r="C27" s="448">
        <v>44835</v>
      </c>
      <c r="D27" s="41">
        <v>30000</v>
      </c>
      <c r="E27" s="41">
        <v>10000</v>
      </c>
      <c r="F27" s="6" t="s">
        <v>1010</v>
      </c>
      <c r="G27" s="6">
        <v>7</v>
      </c>
    </row>
    <row r="28" spans="1:8" x14ac:dyDescent="0.2">
      <c r="B28" s="6" t="s">
        <v>4028</v>
      </c>
      <c r="C28" s="448">
        <v>45231</v>
      </c>
      <c r="D28" s="41">
        <v>10000</v>
      </c>
      <c r="E28" s="41">
        <v>1000</v>
      </c>
      <c r="F28" s="6" t="s">
        <v>3093</v>
      </c>
      <c r="G28" s="6">
        <v>5</v>
      </c>
    </row>
    <row r="30" spans="1:8" x14ac:dyDescent="0.2">
      <c r="A30" s="1" t="s">
        <v>975</v>
      </c>
    </row>
    <row r="31" spans="1:8" x14ac:dyDescent="0.2">
      <c r="A31" s="1" t="s">
        <v>4029</v>
      </c>
    </row>
    <row r="33" spans="1:9" x14ac:dyDescent="0.2">
      <c r="A33" s="1" t="s">
        <v>195</v>
      </c>
    </row>
    <row r="34" spans="1:9" x14ac:dyDescent="0.2">
      <c r="A34" s="1" t="s">
        <v>4030</v>
      </c>
    </row>
    <row r="35" spans="1:9" x14ac:dyDescent="0.2">
      <c r="A35" s="1" t="s">
        <v>4031</v>
      </c>
    </row>
    <row r="36" spans="1:9" x14ac:dyDescent="0.2">
      <c r="A36" s="1" t="s">
        <v>4032</v>
      </c>
    </row>
    <row r="37" spans="1:9" x14ac:dyDescent="0.2">
      <c r="A37" s="1" t="s">
        <v>4033</v>
      </c>
    </row>
    <row r="38" spans="1:9" x14ac:dyDescent="0.2">
      <c r="A38" s="1" t="s">
        <v>4034</v>
      </c>
    </row>
    <row r="39" spans="1:9" ht="17" thickBot="1" x14ac:dyDescent="0.25"/>
    <row r="40" spans="1:9" ht="17" thickBot="1" x14ac:dyDescent="0.25">
      <c r="A40" s="283" t="s">
        <v>4030</v>
      </c>
      <c r="B40" s="94"/>
      <c r="C40" s="94"/>
      <c r="D40" s="94"/>
      <c r="E40" s="94"/>
      <c r="F40" s="94"/>
      <c r="G40" s="94"/>
      <c r="H40" s="95"/>
      <c r="I40" s="2"/>
    </row>
    <row r="42" spans="1:9" x14ac:dyDescent="0.2">
      <c r="A42" s="1" t="s">
        <v>4035</v>
      </c>
    </row>
    <row r="43" spans="1:9" x14ac:dyDescent="0.2">
      <c r="B43" s="634" t="s">
        <v>4022</v>
      </c>
      <c r="C43" s="634" t="s">
        <v>4023</v>
      </c>
      <c r="D43" s="634" t="s">
        <v>677</v>
      </c>
      <c r="E43" s="634" t="s">
        <v>1011</v>
      </c>
      <c r="F43" s="634" t="s">
        <v>4024</v>
      </c>
      <c r="G43" s="634" t="s">
        <v>4025</v>
      </c>
    </row>
    <row r="44" spans="1:9" x14ac:dyDescent="0.2">
      <c r="B44" s="635" t="s">
        <v>4026</v>
      </c>
      <c r="C44" s="636">
        <v>43831</v>
      </c>
      <c r="D44" s="637">
        <v>400000</v>
      </c>
      <c r="E44" s="637">
        <v>50000</v>
      </c>
      <c r="F44" s="635" t="s">
        <v>1010</v>
      </c>
      <c r="G44" s="638">
        <v>10</v>
      </c>
    </row>
    <row r="45" spans="1:9" x14ac:dyDescent="0.2">
      <c r="B45" s="638" t="s">
        <v>4027</v>
      </c>
      <c r="C45" s="636">
        <v>44835</v>
      </c>
      <c r="D45" s="637">
        <v>30000</v>
      </c>
      <c r="E45" s="637">
        <v>10000</v>
      </c>
      <c r="F45" s="635" t="s">
        <v>1010</v>
      </c>
      <c r="G45" s="638">
        <v>7</v>
      </c>
    </row>
    <row r="46" spans="1:9" x14ac:dyDescent="0.2">
      <c r="B46" s="638" t="s">
        <v>4028</v>
      </c>
      <c r="C46" s="636">
        <v>45231</v>
      </c>
      <c r="D46" s="637">
        <v>10000</v>
      </c>
      <c r="E46" s="637">
        <v>1000</v>
      </c>
      <c r="F46" s="635" t="s">
        <v>3093</v>
      </c>
      <c r="G46" s="638">
        <v>5</v>
      </c>
    </row>
    <row r="48" spans="1:9" x14ac:dyDescent="0.2">
      <c r="B48" s="1" t="s">
        <v>4036</v>
      </c>
      <c r="E48" s="23">
        <f>(D44-E44)/G44</f>
        <v>35000</v>
      </c>
      <c r="H48" s="1" t="s">
        <v>4037</v>
      </c>
    </row>
    <row r="49" spans="1:8" x14ac:dyDescent="0.2">
      <c r="B49" s="1" t="s">
        <v>4038</v>
      </c>
      <c r="E49" s="23">
        <f>20000/7</f>
        <v>2857.1428571428573</v>
      </c>
      <c r="H49" s="1" t="s">
        <v>4039</v>
      </c>
    </row>
    <row r="50" spans="1:8" x14ac:dyDescent="0.2">
      <c r="B50" s="1" t="s">
        <v>4040</v>
      </c>
      <c r="E50" s="23">
        <f>9000*(10/12*5+2/12*4)/15</f>
        <v>2900.0000000000005</v>
      </c>
      <c r="H50" s="1" t="s">
        <v>4051</v>
      </c>
    </row>
    <row r="51" spans="1:8" x14ac:dyDescent="0.2">
      <c r="A51" s="1" t="s">
        <v>4059</v>
      </c>
      <c r="B51" s="1" t="s">
        <v>4057</v>
      </c>
      <c r="E51" s="253">
        <f>SUM(E48:E50)</f>
        <v>40757.142857142855</v>
      </c>
      <c r="F51" s="1" t="s">
        <v>4058</v>
      </c>
    </row>
    <row r="53" spans="1:8" x14ac:dyDescent="0.2">
      <c r="B53" s="1" t="s">
        <v>4041</v>
      </c>
    </row>
    <row r="54" spans="1:8" x14ac:dyDescent="0.2">
      <c r="B54" s="1" t="s">
        <v>4042</v>
      </c>
      <c r="D54" s="1" t="s">
        <v>4052</v>
      </c>
      <c r="E54" s="1" t="s">
        <v>4043</v>
      </c>
      <c r="F54" s="1" t="s">
        <v>4044</v>
      </c>
    </row>
    <row r="55" spans="1:8" x14ac:dyDescent="0.2">
      <c r="B55" s="1" t="s">
        <v>4045</v>
      </c>
    </row>
    <row r="56" spans="1:8" x14ac:dyDescent="0.2">
      <c r="B56" s="1" t="s">
        <v>4054</v>
      </c>
      <c r="F56" s="1" t="s">
        <v>4046</v>
      </c>
    </row>
    <row r="57" spans="1:8" x14ac:dyDescent="0.2">
      <c r="B57" s="1" t="s">
        <v>4055</v>
      </c>
      <c r="F57" s="1" t="s">
        <v>4047</v>
      </c>
    </row>
    <row r="59" spans="1:8" x14ac:dyDescent="0.2">
      <c r="B59" s="1" t="s">
        <v>4049</v>
      </c>
      <c r="F59" s="1" t="s">
        <v>4048</v>
      </c>
    </row>
    <row r="61" spans="1:8" x14ac:dyDescent="0.2">
      <c r="G61" s="1" t="s">
        <v>677</v>
      </c>
    </row>
    <row r="62" spans="1:8" x14ac:dyDescent="0.2">
      <c r="C62" s="1" t="s">
        <v>4050</v>
      </c>
      <c r="F62" s="1" t="s">
        <v>836</v>
      </c>
    </row>
    <row r="64" spans="1:8" x14ac:dyDescent="0.2">
      <c r="E64" s="1" t="s">
        <v>4053</v>
      </c>
    </row>
    <row r="66" spans="1:8" x14ac:dyDescent="0.2">
      <c r="D66" s="1" t="s">
        <v>4056</v>
      </c>
    </row>
    <row r="67" spans="1:8" ht="17" thickBot="1" x14ac:dyDescent="0.25"/>
    <row r="68" spans="1:8" ht="17" thickBot="1" x14ac:dyDescent="0.25">
      <c r="A68" s="146" t="s">
        <v>4031</v>
      </c>
      <c r="B68" s="121"/>
      <c r="C68" s="121"/>
      <c r="D68" s="121"/>
      <c r="E68" s="121"/>
      <c r="F68" s="121"/>
      <c r="G68" s="121"/>
      <c r="H68" s="147"/>
    </row>
    <row r="69" spans="1:8" x14ac:dyDescent="0.2">
      <c r="A69" s="1" t="s">
        <v>4060</v>
      </c>
    </row>
    <row r="70" spans="1:8" x14ac:dyDescent="0.2">
      <c r="A70" s="1" t="s">
        <v>4061</v>
      </c>
    </row>
    <row r="71" spans="1:8" x14ac:dyDescent="0.2">
      <c r="A71" s="1" t="s">
        <v>4062</v>
      </c>
    </row>
    <row r="73" spans="1:8" x14ac:dyDescent="0.2">
      <c r="A73" s="1" t="s">
        <v>4063</v>
      </c>
    </row>
    <row r="75" spans="1:8" x14ac:dyDescent="0.2">
      <c r="A75" s="1" t="s">
        <v>4064</v>
      </c>
    </row>
    <row r="77" spans="1:8" x14ac:dyDescent="0.2">
      <c r="B77" s="634" t="s">
        <v>4022</v>
      </c>
      <c r="C77" s="634" t="s">
        <v>4023</v>
      </c>
      <c r="D77" s="634" t="s">
        <v>677</v>
      </c>
      <c r="E77" s="634" t="s">
        <v>1011</v>
      </c>
      <c r="F77" s="634" t="s">
        <v>4024</v>
      </c>
      <c r="G77" s="634" t="s">
        <v>4025</v>
      </c>
    </row>
    <row r="78" spans="1:8" x14ac:dyDescent="0.2">
      <c r="B78" s="635" t="s">
        <v>4026</v>
      </c>
      <c r="C78" s="636">
        <v>43831</v>
      </c>
      <c r="D78" s="637">
        <v>400000</v>
      </c>
      <c r="E78" s="637">
        <v>50000</v>
      </c>
      <c r="F78" s="635" t="s">
        <v>1010</v>
      </c>
      <c r="G78" s="638">
        <v>10</v>
      </c>
    </row>
    <row r="79" spans="1:8" x14ac:dyDescent="0.2">
      <c r="B79" s="638" t="s">
        <v>4027</v>
      </c>
      <c r="C79" s="636">
        <v>44835</v>
      </c>
      <c r="D79" s="637">
        <v>30000</v>
      </c>
      <c r="E79" s="637">
        <v>10000</v>
      </c>
      <c r="F79" s="635" t="s">
        <v>1010</v>
      </c>
      <c r="G79" s="638">
        <v>7</v>
      </c>
    </row>
    <row r="80" spans="1:8" x14ac:dyDescent="0.2">
      <c r="B80" s="638" t="s">
        <v>4028</v>
      </c>
      <c r="C80" s="636">
        <v>45231</v>
      </c>
      <c r="D80" s="637">
        <v>10000</v>
      </c>
      <c r="E80" s="637">
        <v>1000</v>
      </c>
      <c r="F80" s="635" t="s">
        <v>3093</v>
      </c>
      <c r="G80" s="638">
        <v>5</v>
      </c>
    </row>
    <row r="82" spans="1:7" x14ac:dyDescent="0.2">
      <c r="A82" s="1" t="s">
        <v>4072</v>
      </c>
      <c r="C82" s="6" t="s">
        <v>4065</v>
      </c>
      <c r="D82" s="6" t="s">
        <v>4067</v>
      </c>
      <c r="E82" s="6" t="s">
        <v>4069</v>
      </c>
      <c r="F82" s="6"/>
    </row>
    <row r="83" spans="1:7" x14ac:dyDescent="0.2">
      <c r="C83" s="36" t="s">
        <v>4066</v>
      </c>
      <c r="D83" s="36" t="s">
        <v>4068</v>
      </c>
      <c r="E83" s="36" t="s">
        <v>4070</v>
      </c>
      <c r="F83" s="36" t="s">
        <v>4071</v>
      </c>
    </row>
    <row r="84" spans="1:7" x14ac:dyDescent="0.2">
      <c r="B84" s="1" t="s">
        <v>677</v>
      </c>
      <c r="C84" s="639">
        <v>400000</v>
      </c>
      <c r="D84" s="640">
        <v>30000</v>
      </c>
      <c r="E84" s="640">
        <v>10000</v>
      </c>
      <c r="F84" s="641">
        <f>SUM(C84:E84)</f>
        <v>440000</v>
      </c>
    </row>
    <row r="85" spans="1:7" ht="17" thickBot="1" x14ac:dyDescent="0.25">
      <c r="B85" s="1" t="s">
        <v>650</v>
      </c>
      <c r="C85" s="643">
        <f>-(400000-50000)/10*5</f>
        <v>-175000</v>
      </c>
      <c r="D85" s="44">
        <f>-(30000-10000)/7*(2+3/12)</f>
        <v>-6428.5714285714294</v>
      </c>
      <c r="E85" s="44">
        <f>-(10000-1000)*(5+4*2/12)/15</f>
        <v>-3400</v>
      </c>
      <c r="F85" s="644">
        <f>SUM(C85:E85)</f>
        <v>-184828.57142857142</v>
      </c>
    </row>
    <row r="86" spans="1:7" x14ac:dyDescent="0.2">
      <c r="B86" s="1" t="s">
        <v>678</v>
      </c>
      <c r="C86" s="642">
        <f>SUM(C84:C85)</f>
        <v>225000</v>
      </c>
      <c r="D86" s="642">
        <f t="shared" ref="D86:F86" si="0">SUM(D84:D85)</f>
        <v>23571.428571428572</v>
      </c>
      <c r="E86" s="642">
        <f t="shared" si="0"/>
        <v>6600</v>
      </c>
      <c r="F86" s="642">
        <f t="shared" si="0"/>
        <v>255171.42857142858</v>
      </c>
    </row>
    <row r="88" spans="1:7" x14ac:dyDescent="0.2">
      <c r="B88" s="1" t="s">
        <v>4073</v>
      </c>
      <c r="D88" s="23">
        <f>-C85</f>
        <v>175000</v>
      </c>
      <c r="G88" s="1" t="s">
        <v>4074</v>
      </c>
    </row>
    <row r="89" spans="1:7" x14ac:dyDescent="0.2">
      <c r="B89" s="1" t="s">
        <v>4075</v>
      </c>
    </row>
    <row r="90" spans="1:7" x14ac:dyDescent="0.2">
      <c r="B90" s="24">
        <v>400000</v>
      </c>
      <c r="C90" s="1" t="s">
        <v>677</v>
      </c>
    </row>
    <row r="91" spans="1:7" x14ac:dyDescent="0.2">
      <c r="B91" s="24">
        <v>50000</v>
      </c>
      <c r="C91" s="1" t="s">
        <v>1011</v>
      </c>
    </row>
    <row r="92" spans="1:7" x14ac:dyDescent="0.2">
      <c r="B92" s="1">
        <v>10</v>
      </c>
      <c r="C92" s="1" t="s">
        <v>1007</v>
      </c>
    </row>
    <row r="93" spans="1:7" x14ac:dyDescent="0.2">
      <c r="B93" s="1">
        <v>5</v>
      </c>
      <c r="C93" s="1" t="s">
        <v>4076</v>
      </c>
    </row>
    <row r="95" spans="1:7" x14ac:dyDescent="0.2">
      <c r="B95" s="1" t="s">
        <v>4077</v>
      </c>
      <c r="D95" s="23">
        <f>-D85</f>
        <v>6428.5714285714294</v>
      </c>
      <c r="G95" s="1" t="s">
        <v>4078</v>
      </c>
    </row>
    <row r="96" spans="1:7" x14ac:dyDescent="0.2">
      <c r="B96" s="1" t="s">
        <v>4075</v>
      </c>
    </row>
    <row r="97" spans="2:7" x14ac:dyDescent="0.2">
      <c r="B97" s="24">
        <v>30000</v>
      </c>
      <c r="C97" s="1" t="s">
        <v>677</v>
      </c>
    </row>
    <row r="98" spans="2:7" x14ac:dyDescent="0.2">
      <c r="B98" s="24">
        <v>10000</v>
      </c>
      <c r="C98" s="1" t="s">
        <v>1994</v>
      </c>
    </row>
    <row r="99" spans="2:7" x14ac:dyDescent="0.2">
      <c r="B99" s="1">
        <v>7</v>
      </c>
      <c r="C99" s="1" t="s">
        <v>4079</v>
      </c>
    </row>
    <row r="100" spans="2:7" x14ac:dyDescent="0.2">
      <c r="B100" s="87" t="s">
        <v>4080</v>
      </c>
      <c r="C100" s="1" t="s">
        <v>4081</v>
      </c>
    </row>
    <row r="102" spans="2:7" x14ac:dyDescent="0.2">
      <c r="B102" s="1" t="s">
        <v>4082</v>
      </c>
      <c r="D102" s="23">
        <f>-E85</f>
        <v>3400</v>
      </c>
      <c r="G102" s="645" t="s">
        <v>4083</v>
      </c>
    </row>
    <row r="104" spans="2:7" x14ac:dyDescent="0.2">
      <c r="B104" s="1" t="s">
        <v>4075</v>
      </c>
    </row>
    <row r="105" spans="2:7" x14ac:dyDescent="0.2">
      <c r="B105" s="24">
        <v>10000</v>
      </c>
      <c r="C105" s="1" t="s">
        <v>677</v>
      </c>
    </row>
    <row r="106" spans="2:7" x14ac:dyDescent="0.2">
      <c r="B106" s="24">
        <v>1000</v>
      </c>
      <c r="C106" s="1" t="s">
        <v>1011</v>
      </c>
    </row>
    <row r="107" spans="2:7" x14ac:dyDescent="0.2">
      <c r="B107" s="24">
        <v>5</v>
      </c>
      <c r="C107" s="1" t="s">
        <v>4086</v>
      </c>
    </row>
    <row r="108" spans="2:7" x14ac:dyDescent="0.2">
      <c r="B108" s="24"/>
      <c r="C108" s="1" t="s">
        <v>4087</v>
      </c>
    </row>
    <row r="109" spans="2:7" x14ac:dyDescent="0.2">
      <c r="B109" s="87" t="s">
        <v>4090</v>
      </c>
      <c r="C109" s="1" t="s">
        <v>4088</v>
      </c>
    </row>
    <row r="110" spans="2:7" x14ac:dyDescent="0.2">
      <c r="C110" s="1" t="s">
        <v>4089</v>
      </c>
    </row>
    <row r="111" spans="2:7" x14ac:dyDescent="0.2">
      <c r="C111" s="1" t="s">
        <v>4091</v>
      </c>
    </row>
    <row r="112" spans="2:7" x14ac:dyDescent="0.2">
      <c r="B112" s="1">
        <v>15</v>
      </c>
      <c r="C112" s="1" t="s">
        <v>4084</v>
      </c>
    </row>
    <row r="113" spans="1:9" x14ac:dyDescent="0.2">
      <c r="G113" s="1" t="s">
        <v>4085</v>
      </c>
    </row>
    <row r="115" spans="1:9" x14ac:dyDescent="0.2">
      <c r="B115" s="1" t="s">
        <v>4092</v>
      </c>
    </row>
    <row r="116" spans="1:9" x14ac:dyDescent="0.2">
      <c r="B116" s="1" t="s">
        <v>4093</v>
      </c>
    </row>
    <row r="117" spans="1:9" ht="17" thickBot="1" x14ac:dyDescent="0.25"/>
    <row r="118" spans="1:9" x14ac:dyDescent="0.2">
      <c r="A118" s="18" t="s">
        <v>4032</v>
      </c>
      <c r="B118" s="100"/>
      <c r="C118" s="100"/>
      <c r="D118" s="100"/>
      <c r="E118" s="100"/>
      <c r="F118" s="100"/>
      <c r="G118" s="100"/>
      <c r="H118" s="100"/>
      <c r="I118" s="19"/>
    </row>
    <row r="119" spans="1:9" x14ac:dyDescent="0.2">
      <c r="A119" s="106" t="s">
        <v>4094</v>
      </c>
      <c r="I119" s="107"/>
    </row>
    <row r="120" spans="1:9" ht="17" thickBot="1" x14ac:dyDescent="0.25">
      <c r="A120" s="153" t="s">
        <v>4034</v>
      </c>
      <c r="B120" s="103"/>
      <c r="C120" s="103"/>
      <c r="D120" s="103"/>
      <c r="E120" s="103"/>
      <c r="F120" s="103"/>
      <c r="G120" s="103"/>
      <c r="H120" s="103"/>
      <c r="I120" s="21"/>
    </row>
    <row r="122" spans="1:9" x14ac:dyDescent="0.2">
      <c r="B122" s="634" t="s">
        <v>4022</v>
      </c>
      <c r="C122" s="634" t="s">
        <v>4023</v>
      </c>
      <c r="D122" s="634" t="s">
        <v>677</v>
      </c>
      <c r="E122" s="634" t="s">
        <v>1011</v>
      </c>
      <c r="F122" s="634" t="s">
        <v>4024</v>
      </c>
      <c r="G122" s="634" t="s">
        <v>4025</v>
      </c>
    </row>
    <row r="123" spans="1:9" x14ac:dyDescent="0.2">
      <c r="B123" s="635" t="s">
        <v>4026</v>
      </c>
      <c r="C123" s="636">
        <v>43831</v>
      </c>
      <c r="D123" s="637">
        <v>400000</v>
      </c>
      <c r="E123" s="637">
        <v>50000</v>
      </c>
      <c r="F123" s="635" t="s">
        <v>1010</v>
      </c>
      <c r="G123" s="638">
        <v>10</v>
      </c>
    </row>
    <row r="124" spans="1:9" x14ac:dyDescent="0.2">
      <c r="B124" s="638" t="s">
        <v>4027</v>
      </c>
      <c r="C124" s="636">
        <v>44835</v>
      </c>
      <c r="D124" s="637">
        <v>30000</v>
      </c>
      <c r="E124" s="637">
        <v>10000</v>
      </c>
      <c r="F124" s="635" t="s">
        <v>1010</v>
      </c>
      <c r="G124" s="638">
        <v>7</v>
      </c>
    </row>
    <row r="125" spans="1:9" x14ac:dyDescent="0.2">
      <c r="B125" s="638" t="s">
        <v>4028</v>
      </c>
      <c r="C125" s="636">
        <v>45231</v>
      </c>
      <c r="D125" s="637">
        <v>10000</v>
      </c>
      <c r="E125" s="637">
        <v>1000</v>
      </c>
      <c r="F125" s="635" t="s">
        <v>3093</v>
      </c>
      <c r="G125" s="638">
        <v>5</v>
      </c>
    </row>
    <row r="127" spans="1:9" x14ac:dyDescent="0.2">
      <c r="A127" s="1" t="s">
        <v>4095</v>
      </c>
    </row>
    <row r="129" spans="3:9" x14ac:dyDescent="0.2">
      <c r="D129" s="848" t="s">
        <v>4096</v>
      </c>
      <c r="E129" s="848"/>
      <c r="F129" s="848"/>
      <c r="G129" s="848"/>
      <c r="I129" s="1" t="s">
        <v>3564</v>
      </c>
    </row>
    <row r="130" spans="3:9" x14ac:dyDescent="0.2">
      <c r="D130" s="36" t="s">
        <v>4026</v>
      </c>
      <c r="E130" s="36" t="s">
        <v>4027</v>
      </c>
      <c r="F130" s="36" t="s">
        <v>4028</v>
      </c>
      <c r="G130" s="36" t="s">
        <v>272</v>
      </c>
      <c r="I130" s="1" t="s">
        <v>4097</v>
      </c>
    </row>
    <row r="131" spans="3:9" x14ac:dyDescent="0.2">
      <c r="C131" s="1" t="s">
        <v>677</v>
      </c>
      <c r="D131" s="44">
        <f>D123</f>
        <v>400000</v>
      </c>
      <c r="E131" s="44">
        <f>D124</f>
        <v>30000</v>
      </c>
      <c r="F131" s="44">
        <v>0</v>
      </c>
      <c r="G131" s="44">
        <f>SUM(D131:F131)</f>
        <v>430000</v>
      </c>
      <c r="I131" s="1" t="s">
        <v>4098</v>
      </c>
    </row>
    <row r="132" spans="3:9" ht="17" thickBot="1" x14ac:dyDescent="0.25">
      <c r="C132" s="1" t="s">
        <v>650</v>
      </c>
      <c r="D132" s="44">
        <f>-(400000-50000)/10*6</f>
        <v>-210000</v>
      </c>
      <c r="E132" s="44">
        <f>-(30000-10000)/7*(3+3/12)</f>
        <v>-9285.7142857142862</v>
      </c>
      <c r="F132" s="44">
        <v>0</v>
      </c>
      <c r="G132" s="44">
        <f>SUM(D132:F132)</f>
        <v>-219285.71428571429</v>
      </c>
      <c r="I132" s="1" t="s">
        <v>4099</v>
      </c>
    </row>
    <row r="133" spans="3:9" ht="17" thickBot="1" x14ac:dyDescent="0.25">
      <c r="C133" s="1" t="s">
        <v>678</v>
      </c>
      <c r="D133" s="646">
        <f>D131+D132</f>
        <v>190000</v>
      </c>
      <c r="E133" s="647">
        <f>E131+E132</f>
        <v>20714.285714285714</v>
      </c>
      <c r="F133" s="647">
        <v>0</v>
      </c>
      <c r="G133" s="648">
        <f>G131+G132</f>
        <v>210714.28571428571</v>
      </c>
      <c r="I133" s="1" t="s">
        <v>4100</v>
      </c>
    </row>
    <row r="134" spans="3:9" x14ac:dyDescent="0.2">
      <c r="D134" s="44"/>
      <c r="E134" s="44"/>
      <c r="F134" s="44"/>
      <c r="G134" s="44"/>
    </row>
    <row r="135" spans="3:9" x14ac:dyDescent="0.2">
      <c r="C135" s="1" t="s">
        <v>693</v>
      </c>
      <c r="D135" s="44">
        <f>(400000-50000)/10</f>
        <v>35000</v>
      </c>
      <c r="E135" s="44">
        <f>(30000-10000)/7</f>
        <v>2857.1428571428573</v>
      </c>
      <c r="F135" s="44">
        <f>D146</f>
        <v>800</v>
      </c>
      <c r="G135" s="44">
        <f>SUM(D135:F135)</f>
        <v>38657.142857142855</v>
      </c>
    </row>
    <row r="136" spans="3:9" x14ac:dyDescent="0.2">
      <c r="C136" s="1" t="s">
        <v>4106</v>
      </c>
      <c r="D136" s="44"/>
      <c r="E136" s="44"/>
      <c r="F136" s="44">
        <v>1500</v>
      </c>
      <c r="G136" s="44"/>
    </row>
    <row r="138" spans="3:9" x14ac:dyDescent="0.2">
      <c r="C138" s="1" t="s">
        <v>4105</v>
      </c>
    </row>
    <row r="139" spans="3:9" x14ac:dyDescent="0.2">
      <c r="C139" s="1" t="s">
        <v>4101</v>
      </c>
    </row>
    <row r="140" spans="3:9" x14ac:dyDescent="0.2">
      <c r="C140" s="1" t="s">
        <v>4102</v>
      </c>
    </row>
    <row r="141" spans="3:9" x14ac:dyDescent="0.2">
      <c r="C141" s="25" t="s">
        <v>3094</v>
      </c>
      <c r="D141" s="25" t="s">
        <v>3095</v>
      </c>
      <c r="E141" s="25" t="s">
        <v>3096</v>
      </c>
    </row>
    <row r="142" spans="3:9" x14ac:dyDescent="0.2">
      <c r="C142" s="120">
        <v>45231</v>
      </c>
      <c r="D142" s="120">
        <v>45597</v>
      </c>
      <c r="E142" s="1">
        <v>5</v>
      </c>
    </row>
    <row r="143" spans="3:9" x14ac:dyDescent="0.2">
      <c r="C143" s="120">
        <f>D142</f>
        <v>45597</v>
      </c>
      <c r="D143" s="120">
        <v>45962</v>
      </c>
      <c r="E143" s="1">
        <v>4</v>
      </c>
    </row>
    <row r="145" spans="1:10" x14ac:dyDescent="0.2">
      <c r="C145" s="1" t="s">
        <v>4104</v>
      </c>
    </row>
    <row r="146" spans="1:10" x14ac:dyDescent="0.2">
      <c r="D146" s="1">
        <f>9000*(4*4/12)/15</f>
        <v>800</v>
      </c>
      <c r="G146" s="1" t="s">
        <v>4103</v>
      </c>
    </row>
    <row r="148" spans="1:10" x14ac:dyDescent="0.2">
      <c r="A148" s="2" t="s">
        <v>4107</v>
      </c>
    </row>
    <row r="149" spans="1:10" x14ac:dyDescent="0.2">
      <c r="A149" s="1" t="s">
        <v>4108</v>
      </c>
    </row>
    <row r="150" spans="1:10" x14ac:dyDescent="0.2">
      <c r="A150" s="1" t="s">
        <v>4109</v>
      </c>
    </row>
    <row r="152" spans="1:10" x14ac:dyDescent="0.2">
      <c r="C152" s="1" t="s">
        <v>4110</v>
      </c>
      <c r="F152" s="6" t="s">
        <v>4111</v>
      </c>
      <c r="G152" s="1" t="s">
        <v>4117</v>
      </c>
      <c r="J152" s="1" t="s">
        <v>4118</v>
      </c>
    </row>
    <row r="153" spans="1:10" x14ac:dyDescent="0.2">
      <c r="C153" s="1" t="s">
        <v>4112</v>
      </c>
      <c r="F153" s="41">
        <f>-F160</f>
        <v>-5800</v>
      </c>
      <c r="H153" s="829" t="s">
        <v>4133</v>
      </c>
      <c r="I153" s="829"/>
    </row>
    <row r="154" spans="1:10" x14ac:dyDescent="0.2">
      <c r="C154" s="2" t="s">
        <v>4113</v>
      </c>
      <c r="D154" s="2"/>
      <c r="E154" s="2"/>
      <c r="F154" s="477">
        <v>1500</v>
      </c>
    </row>
    <row r="156" spans="1:10" x14ac:dyDescent="0.2">
      <c r="C156" s="1" t="s">
        <v>4114</v>
      </c>
    </row>
    <row r="158" spans="1:10" x14ac:dyDescent="0.2">
      <c r="C158" s="1" t="s">
        <v>677</v>
      </c>
      <c r="F158" s="41">
        <v>10000</v>
      </c>
    </row>
    <row r="159" spans="1:10" ht="17" thickBot="1" x14ac:dyDescent="0.25">
      <c r="C159" s="1" t="s">
        <v>4115</v>
      </c>
      <c r="F159" s="44">
        <f>-9000*(5+4*6/12)/15</f>
        <v>-4200</v>
      </c>
      <c r="I159" s="1" t="s">
        <v>4116</v>
      </c>
    </row>
    <row r="160" spans="1:10" ht="17" thickBot="1" x14ac:dyDescent="0.25">
      <c r="C160" s="1" t="s">
        <v>861</v>
      </c>
      <c r="F160" s="124">
        <f>F158+F159</f>
        <v>5800</v>
      </c>
    </row>
    <row r="162" spans="1:9" x14ac:dyDescent="0.2">
      <c r="A162" s="2" t="s">
        <v>4119</v>
      </c>
    </row>
    <row r="164" spans="1:9" x14ac:dyDescent="0.2">
      <c r="A164" s="1" t="s">
        <v>4123</v>
      </c>
      <c r="C164" s="1" t="s">
        <v>1998</v>
      </c>
      <c r="E164" s="23">
        <f>G135</f>
        <v>38657.142857142855</v>
      </c>
    </row>
    <row r="165" spans="1:9" x14ac:dyDescent="0.2">
      <c r="C165" s="1" t="s">
        <v>4120</v>
      </c>
      <c r="E165" s="23">
        <f>D135</f>
        <v>35000</v>
      </c>
    </row>
    <row r="166" spans="1:9" x14ac:dyDescent="0.2">
      <c r="C166" s="1" t="s">
        <v>4121</v>
      </c>
      <c r="E166" s="23">
        <f>E135</f>
        <v>2857.1428571428573</v>
      </c>
    </row>
    <row r="167" spans="1:9" x14ac:dyDescent="0.2">
      <c r="C167" s="1" t="s">
        <v>4122</v>
      </c>
      <c r="E167" s="23">
        <f>F135</f>
        <v>800</v>
      </c>
    </row>
    <row r="168" spans="1:9" x14ac:dyDescent="0.2">
      <c r="G168" s="1" t="s">
        <v>4132</v>
      </c>
    </row>
    <row r="169" spans="1:9" x14ac:dyDescent="0.2">
      <c r="A169" s="1" t="s">
        <v>4124</v>
      </c>
      <c r="C169" s="1" t="s">
        <v>1694</v>
      </c>
      <c r="E169" s="24">
        <v>7300</v>
      </c>
      <c r="G169" s="1" t="s">
        <v>1694</v>
      </c>
      <c r="I169" s="1" t="s">
        <v>4125</v>
      </c>
    </row>
    <row r="170" spans="1:9" x14ac:dyDescent="0.2">
      <c r="C170" s="1" t="s">
        <v>4134</v>
      </c>
      <c r="E170" s="24">
        <f>F158</f>
        <v>10000</v>
      </c>
      <c r="G170" s="1" t="s">
        <v>4126</v>
      </c>
      <c r="I170" s="1" t="s">
        <v>4127</v>
      </c>
    </row>
    <row r="171" spans="1:9" x14ac:dyDescent="0.2">
      <c r="C171" s="1" t="s">
        <v>4135</v>
      </c>
      <c r="E171" s="24">
        <f>-F159</f>
        <v>4200</v>
      </c>
      <c r="G171" s="1" t="s">
        <v>4128</v>
      </c>
      <c r="I171" s="1" t="s">
        <v>4129</v>
      </c>
    </row>
    <row r="172" spans="1:9" x14ac:dyDescent="0.2">
      <c r="C172" s="1" t="s">
        <v>4136</v>
      </c>
      <c r="E172" s="24">
        <f>F154</f>
        <v>1500</v>
      </c>
      <c r="G172" s="1" t="s">
        <v>4130</v>
      </c>
      <c r="I172" s="1" t="s">
        <v>4131</v>
      </c>
    </row>
    <row r="178" spans="1:12" x14ac:dyDescent="0.2">
      <c r="A178" s="7" t="s">
        <v>4137</v>
      </c>
      <c r="B178" s="7"/>
      <c r="C178" s="7"/>
      <c r="D178" s="7"/>
      <c r="E178" s="7"/>
      <c r="F178" s="7"/>
      <c r="G178" s="7"/>
    </row>
    <row r="181" spans="1:12" x14ac:dyDescent="0.2">
      <c r="H181" s="2" t="s">
        <v>4138</v>
      </c>
    </row>
    <row r="182" spans="1:12" x14ac:dyDescent="0.2">
      <c r="G182" s="145" t="s">
        <v>275</v>
      </c>
      <c r="H182" s="1" t="s">
        <v>4139</v>
      </c>
      <c r="J182" s="302">
        <f>(350000-50000)/10*(8/12)</f>
        <v>20000</v>
      </c>
      <c r="L182" s="28" t="s">
        <v>4141</v>
      </c>
    </row>
    <row r="183" spans="1:12" x14ac:dyDescent="0.2">
      <c r="G183" s="6"/>
      <c r="H183" s="1" t="s">
        <v>4140</v>
      </c>
      <c r="J183" s="302">
        <f>(350000-50000)/10</f>
        <v>30000</v>
      </c>
      <c r="L183" s="28" t="s">
        <v>4142</v>
      </c>
    </row>
    <row r="184" spans="1:12" x14ac:dyDescent="0.2">
      <c r="G184" s="6"/>
    </row>
    <row r="185" spans="1:12" x14ac:dyDescent="0.2">
      <c r="G185" s="145" t="s">
        <v>276</v>
      </c>
      <c r="H185" s="2"/>
      <c r="J185" s="86">
        <v>45657</v>
      </c>
      <c r="K185" s="86">
        <v>46022</v>
      </c>
    </row>
    <row r="186" spans="1:12" x14ac:dyDescent="0.2">
      <c r="I186" s="1" t="s">
        <v>677</v>
      </c>
      <c r="J186" s="44">
        <v>350000</v>
      </c>
      <c r="K186" s="44">
        <f>J186</f>
        <v>350000</v>
      </c>
    </row>
    <row r="187" spans="1:12" ht="17" thickBot="1" x14ac:dyDescent="0.25">
      <c r="I187" s="1" t="s">
        <v>650</v>
      </c>
      <c r="J187" s="44">
        <f>-(350000-50000)/10*8/12</f>
        <v>-20000</v>
      </c>
      <c r="K187" s="44">
        <f>-(350000-50000)/10*(1 + 8/12)</f>
        <v>-49999.999999999993</v>
      </c>
    </row>
    <row r="188" spans="1:12" ht="17" thickBot="1" x14ac:dyDescent="0.25">
      <c r="I188" s="1" t="s">
        <v>678</v>
      </c>
      <c r="J188" s="125">
        <f>J186+J187</f>
        <v>330000</v>
      </c>
      <c r="K188" s="127">
        <f>K186+K187</f>
        <v>300000</v>
      </c>
    </row>
    <row r="190" spans="1:12" x14ac:dyDescent="0.2">
      <c r="H190" s="1" t="s">
        <v>4143</v>
      </c>
    </row>
    <row r="192" spans="1:12" x14ac:dyDescent="0.2">
      <c r="G192" s="145" t="s">
        <v>279</v>
      </c>
      <c r="H192" s="1" t="s">
        <v>4144</v>
      </c>
    </row>
    <row r="194" spans="8:12" x14ac:dyDescent="0.2">
      <c r="I194" s="1" t="s">
        <v>941</v>
      </c>
      <c r="K194" s="41">
        <v>231000</v>
      </c>
    </row>
    <row r="195" spans="8:12" ht="17" thickBot="1" x14ac:dyDescent="0.25">
      <c r="I195" s="1" t="s">
        <v>4145</v>
      </c>
      <c r="K195" s="44">
        <f>-K188</f>
        <v>-300000</v>
      </c>
    </row>
    <row r="196" spans="8:12" ht="17" thickBot="1" x14ac:dyDescent="0.25">
      <c r="I196" s="1" t="s">
        <v>4146</v>
      </c>
      <c r="K196" s="649">
        <f>K194+K195</f>
        <v>-69000</v>
      </c>
    </row>
    <row r="199" spans="8:12" x14ac:dyDescent="0.2">
      <c r="H199" s="2" t="s">
        <v>4147</v>
      </c>
    </row>
    <row r="200" spans="8:12" x14ac:dyDescent="0.2">
      <c r="H200" s="1" t="s">
        <v>4148</v>
      </c>
    </row>
    <row r="201" spans="8:12" x14ac:dyDescent="0.2">
      <c r="H201" s="1" t="s">
        <v>4149</v>
      </c>
      <c r="L201" s="24">
        <v>150000</v>
      </c>
    </row>
    <row r="202" spans="8:12" x14ac:dyDescent="0.2">
      <c r="H202" s="1" t="s">
        <v>4150</v>
      </c>
      <c r="L202" s="24">
        <v>15000</v>
      </c>
    </row>
    <row r="203" spans="8:12" x14ac:dyDescent="0.2">
      <c r="H203" s="2" t="s">
        <v>4151</v>
      </c>
      <c r="I203" s="2"/>
      <c r="J203" s="2"/>
      <c r="K203" s="2"/>
      <c r="L203" s="650">
        <f>L201+L202</f>
        <v>165000</v>
      </c>
    </row>
    <row r="204" spans="8:12" x14ac:dyDescent="0.2">
      <c r="H204" s="2"/>
      <c r="I204" s="2"/>
      <c r="J204" s="2"/>
      <c r="K204" s="2"/>
      <c r="L204" s="2"/>
    </row>
    <row r="205" spans="8:12" x14ac:dyDescent="0.2">
      <c r="H205" s="2" t="s">
        <v>4152</v>
      </c>
      <c r="I205" s="2"/>
      <c r="J205" s="2"/>
      <c r="K205" s="2"/>
      <c r="L205" s="650">
        <v>10000</v>
      </c>
    </row>
    <row r="207" spans="8:12" x14ac:dyDescent="0.2">
      <c r="H207" s="1" t="s">
        <v>4153</v>
      </c>
    </row>
    <row r="208" spans="8:12" x14ac:dyDescent="0.2">
      <c r="H208" s="1" t="s">
        <v>4154</v>
      </c>
      <c r="L208" s="24">
        <v>136583</v>
      </c>
    </row>
    <row r="210" spans="7:11" x14ac:dyDescent="0.2">
      <c r="H210" s="1" t="s">
        <v>4155</v>
      </c>
    </row>
    <row r="211" spans="7:11" x14ac:dyDescent="0.2">
      <c r="H211" s="1" t="s">
        <v>4156</v>
      </c>
    </row>
    <row r="213" spans="7:11" x14ac:dyDescent="0.2">
      <c r="H213" s="2" t="s">
        <v>4157</v>
      </c>
    </row>
    <row r="214" spans="7:11" x14ac:dyDescent="0.2">
      <c r="H214" s="2" t="s">
        <v>4158</v>
      </c>
    </row>
    <row r="216" spans="7:11" x14ac:dyDescent="0.2">
      <c r="K216" s="1" t="s">
        <v>4171</v>
      </c>
    </row>
    <row r="219" spans="7:11" x14ac:dyDescent="0.2">
      <c r="G219" s="1" t="s">
        <v>2007</v>
      </c>
      <c r="I219" s="1" t="s">
        <v>4165</v>
      </c>
      <c r="K219" s="1" t="s">
        <v>4161</v>
      </c>
    </row>
    <row r="220" spans="7:11" x14ac:dyDescent="0.2">
      <c r="G220" s="1" t="s">
        <v>4159</v>
      </c>
      <c r="I220" s="1" t="s">
        <v>4162</v>
      </c>
    </row>
    <row r="221" spans="7:11" x14ac:dyDescent="0.2">
      <c r="G221" s="1" t="s">
        <v>4160</v>
      </c>
      <c r="I221" s="1" t="s">
        <v>4166</v>
      </c>
    </row>
    <row r="222" spans="7:11" x14ac:dyDescent="0.2">
      <c r="I222" s="1" t="s">
        <v>4163</v>
      </c>
    </row>
    <row r="223" spans="7:11" x14ac:dyDescent="0.2">
      <c r="I223" s="1" t="s">
        <v>4164</v>
      </c>
    </row>
    <row r="224" spans="7:11" x14ac:dyDescent="0.2">
      <c r="I224" s="144" t="s">
        <v>4167</v>
      </c>
    </row>
    <row r="225" spans="6:11" x14ac:dyDescent="0.2">
      <c r="I225" s="1" t="s">
        <v>4168</v>
      </c>
    </row>
    <row r="226" spans="6:11" x14ac:dyDescent="0.2">
      <c r="I226" s="1" t="s">
        <v>4169</v>
      </c>
    </row>
    <row r="227" spans="6:11" x14ac:dyDescent="0.2">
      <c r="I227" s="1" t="s">
        <v>4170</v>
      </c>
    </row>
    <row r="228" spans="6:11" x14ac:dyDescent="0.2">
      <c r="F228" s="1" t="s">
        <v>4176</v>
      </c>
    </row>
    <row r="229" spans="6:11" x14ac:dyDescent="0.2">
      <c r="F229" s="1" t="s">
        <v>4177</v>
      </c>
      <c r="K229" s="1" t="s">
        <v>4172</v>
      </c>
    </row>
    <row r="230" spans="6:11" x14ac:dyDescent="0.2">
      <c r="F230" s="1" t="s">
        <v>4178</v>
      </c>
      <c r="K230" s="1" t="s">
        <v>4173</v>
      </c>
    </row>
    <row r="231" spans="6:11" x14ac:dyDescent="0.2">
      <c r="F231" s="1" t="s">
        <v>4179</v>
      </c>
      <c r="K231" s="1" t="s">
        <v>4174</v>
      </c>
    </row>
    <row r="232" spans="6:11" x14ac:dyDescent="0.2">
      <c r="F232" s="1" t="s">
        <v>4180</v>
      </c>
      <c r="K232" s="1" t="s">
        <v>4175</v>
      </c>
    </row>
    <row r="233" spans="6:11" x14ac:dyDescent="0.2">
      <c r="F233" s="1" t="s">
        <v>4181</v>
      </c>
      <c r="K233" s="1" t="s">
        <v>2600</v>
      </c>
    </row>
    <row r="235" spans="6:11" x14ac:dyDescent="0.2">
      <c r="F235" s="2" t="s">
        <v>4182</v>
      </c>
      <c r="G235" s="2"/>
      <c r="H235" s="2"/>
    </row>
    <row r="237" spans="6:11" x14ac:dyDescent="0.2">
      <c r="F237" s="1" t="s">
        <v>4183</v>
      </c>
    </row>
    <row r="238" spans="6:11" x14ac:dyDescent="0.2">
      <c r="I238" s="6" t="s">
        <v>4184</v>
      </c>
    </row>
    <row r="239" spans="6:11" x14ac:dyDescent="0.2">
      <c r="H239" s="86">
        <v>44561</v>
      </c>
      <c r="I239" s="86">
        <v>44926</v>
      </c>
    </row>
    <row r="240" spans="6:11" x14ac:dyDescent="0.2">
      <c r="G240" s="1" t="s">
        <v>677</v>
      </c>
      <c r="H240" s="44">
        <v>165000</v>
      </c>
      <c r="I240" s="44">
        <f>H240</f>
        <v>165000</v>
      </c>
    </row>
    <row r="241" spans="1:12" ht="17" thickBot="1" x14ac:dyDescent="0.25">
      <c r="G241" s="1" t="s">
        <v>650</v>
      </c>
      <c r="H241" s="44">
        <f>H242-H240</f>
        <v>-28417</v>
      </c>
      <c r="I241" s="653">
        <f>H241-15500</f>
        <v>-43917</v>
      </c>
      <c r="L241" s="110" t="s">
        <v>4185</v>
      </c>
    </row>
    <row r="242" spans="1:12" ht="17" thickBot="1" x14ac:dyDescent="0.25">
      <c r="G242" s="1" t="s">
        <v>2007</v>
      </c>
      <c r="H242" s="44">
        <f>136583</f>
        <v>136583</v>
      </c>
      <c r="I242" s="651">
        <f>I240+I241</f>
        <v>121083</v>
      </c>
      <c r="K242" s="1" t="s">
        <v>4188</v>
      </c>
    </row>
    <row r="243" spans="1:12" x14ac:dyDescent="0.2">
      <c r="H243" s="6"/>
      <c r="I243" s="150" t="s">
        <v>4186</v>
      </c>
      <c r="K243" s="1" t="s">
        <v>4189</v>
      </c>
    </row>
    <row r="244" spans="1:12" x14ac:dyDescent="0.2">
      <c r="H244" s="6"/>
      <c r="I244" s="150" t="s">
        <v>4187</v>
      </c>
      <c r="K244" s="1" t="s">
        <v>4190</v>
      </c>
    </row>
    <row r="245" spans="1:12" x14ac:dyDescent="0.2">
      <c r="K245" s="1" t="s">
        <v>4191</v>
      </c>
    </row>
    <row r="246" spans="1:12" x14ac:dyDescent="0.2">
      <c r="K246" s="1" t="s">
        <v>4192</v>
      </c>
    </row>
    <row r="247" spans="1:12" x14ac:dyDescent="0.2">
      <c r="K247" s="1" t="s">
        <v>4193</v>
      </c>
    </row>
    <row r="248" spans="1:12" x14ac:dyDescent="0.2">
      <c r="K248" s="1" t="s">
        <v>4194</v>
      </c>
    </row>
    <row r="249" spans="1:12" ht="23" x14ac:dyDescent="0.25">
      <c r="A249" s="654" t="s">
        <v>4195</v>
      </c>
      <c r="B249" s="654"/>
      <c r="C249" s="654"/>
      <c r="D249" s="654"/>
      <c r="E249" s="654"/>
    </row>
    <row r="250" spans="1:12" x14ac:dyDescent="0.2">
      <c r="A250" s="1" t="s">
        <v>4196</v>
      </c>
    </row>
    <row r="251" spans="1:12" x14ac:dyDescent="0.2">
      <c r="A251" s="1" t="s">
        <v>4197</v>
      </c>
    </row>
    <row r="252" spans="1:12" x14ac:dyDescent="0.2">
      <c r="A252" s="1" t="s">
        <v>4198</v>
      </c>
    </row>
    <row r="254" spans="1:12" ht="23" x14ac:dyDescent="0.25">
      <c r="A254" s="655" t="s">
        <v>4211</v>
      </c>
      <c r="B254" s="655"/>
      <c r="C254" s="655"/>
      <c r="D254" s="655"/>
      <c r="E254" s="655"/>
      <c r="F254" s="655"/>
      <c r="G254" s="655"/>
      <c r="H254" s="655"/>
    </row>
    <row r="255" spans="1:12" ht="23" x14ac:dyDescent="0.25">
      <c r="A255" s="654"/>
      <c r="B255" s="654"/>
      <c r="C255" s="654"/>
      <c r="D255" s="654"/>
      <c r="E255" s="654"/>
      <c r="F255" s="654"/>
      <c r="G255" s="654"/>
      <c r="H255" s="654"/>
    </row>
    <row r="256" spans="1:12" x14ac:dyDescent="0.2">
      <c r="A256" s="7" t="s">
        <v>4199</v>
      </c>
      <c r="B256" s="7"/>
      <c r="C256" s="7"/>
      <c r="D256" s="7"/>
      <c r="E256" s="7"/>
      <c r="F256" s="7"/>
      <c r="G256" s="7"/>
      <c r="H256" s="7"/>
    </row>
    <row r="258" spans="1:7" x14ac:dyDescent="0.2">
      <c r="A258" s="1" t="s">
        <v>4200</v>
      </c>
    </row>
    <row r="260" spans="1:7" x14ac:dyDescent="0.2">
      <c r="B260" s="36" t="s">
        <v>4022</v>
      </c>
      <c r="C260" s="36" t="s">
        <v>4023</v>
      </c>
      <c r="D260" s="36" t="s">
        <v>677</v>
      </c>
      <c r="E260" s="36" t="s">
        <v>1011</v>
      </c>
      <c r="F260" s="36" t="s">
        <v>4024</v>
      </c>
      <c r="G260" s="36" t="s">
        <v>4025</v>
      </c>
    </row>
    <row r="261" spans="1:7" x14ac:dyDescent="0.2">
      <c r="B261" s="6" t="s">
        <v>4026</v>
      </c>
      <c r="C261" s="448">
        <v>45352</v>
      </c>
      <c r="D261" s="41">
        <v>400000</v>
      </c>
      <c r="E261" s="41">
        <v>50000</v>
      </c>
      <c r="F261" s="6" t="s">
        <v>1010</v>
      </c>
      <c r="G261" s="6">
        <v>10</v>
      </c>
    </row>
    <row r="262" spans="1:7" x14ac:dyDescent="0.2">
      <c r="B262" s="6" t="s">
        <v>4201</v>
      </c>
      <c r="C262" s="448">
        <v>44470</v>
      </c>
      <c r="D262" s="41">
        <v>800000</v>
      </c>
      <c r="E262" s="41">
        <v>150000</v>
      </c>
      <c r="F262" s="6" t="s">
        <v>1010</v>
      </c>
      <c r="G262" s="6">
        <v>8</v>
      </c>
    </row>
    <row r="263" spans="1:7" x14ac:dyDescent="0.2">
      <c r="B263" s="6" t="s">
        <v>4202</v>
      </c>
      <c r="C263" s="448">
        <v>44805</v>
      </c>
      <c r="D263" s="41">
        <v>30000</v>
      </c>
      <c r="E263" s="41">
        <v>5000</v>
      </c>
      <c r="F263" s="6" t="s">
        <v>3093</v>
      </c>
      <c r="G263" s="6">
        <v>7</v>
      </c>
    </row>
    <row r="265" spans="1:7" x14ac:dyDescent="0.2">
      <c r="A265" s="1" t="s">
        <v>975</v>
      </c>
    </row>
    <row r="266" spans="1:7" x14ac:dyDescent="0.2">
      <c r="A266" s="1" t="s">
        <v>4203</v>
      </c>
    </row>
    <row r="268" spans="1:7" x14ac:dyDescent="0.2">
      <c r="A268" s="1" t="s">
        <v>195</v>
      </c>
    </row>
    <row r="269" spans="1:7" x14ac:dyDescent="0.2">
      <c r="A269" s="1" t="s">
        <v>4204</v>
      </c>
    </row>
    <row r="270" spans="1:7" x14ac:dyDescent="0.2">
      <c r="A270" s="1" t="s">
        <v>4241</v>
      </c>
    </row>
    <row r="271" spans="1:7" x14ac:dyDescent="0.2">
      <c r="A271" s="1" t="s">
        <v>4205</v>
      </c>
    </row>
    <row r="272" spans="1:7" x14ac:dyDescent="0.2">
      <c r="A272" s="1" t="s">
        <v>4206</v>
      </c>
    </row>
    <row r="273" spans="1:8" x14ac:dyDescent="0.2">
      <c r="A273" s="1" t="s">
        <v>4207</v>
      </c>
    </row>
    <row r="275" spans="1:8" x14ac:dyDescent="0.2">
      <c r="A275" s="2" t="s">
        <v>4208</v>
      </c>
    </row>
    <row r="276" spans="1:8" ht="17" thickBot="1" x14ac:dyDescent="0.25"/>
    <row r="277" spans="1:8" ht="17" thickBot="1" x14ac:dyDescent="0.25">
      <c r="A277" s="283" t="s">
        <v>4204</v>
      </c>
      <c r="B277" s="121"/>
      <c r="C277" s="121"/>
      <c r="D277" s="121"/>
      <c r="E277" s="121"/>
      <c r="F277" s="121"/>
      <c r="G277" s="121"/>
      <c r="H277" s="147"/>
    </row>
    <row r="279" spans="1:8" x14ac:dyDescent="0.2">
      <c r="A279" s="2" t="s">
        <v>4035</v>
      </c>
    </row>
    <row r="280" spans="1:8" x14ac:dyDescent="0.2">
      <c r="B280" s="36" t="s">
        <v>4022</v>
      </c>
      <c r="C280" s="36" t="s">
        <v>4023</v>
      </c>
      <c r="D280" s="36" t="s">
        <v>677</v>
      </c>
      <c r="E280" s="36" t="s">
        <v>1011</v>
      </c>
      <c r="F280" s="36" t="s">
        <v>4024</v>
      </c>
      <c r="G280" s="36" t="s">
        <v>4025</v>
      </c>
    </row>
    <row r="281" spans="1:8" x14ac:dyDescent="0.2">
      <c r="B281" s="6" t="s">
        <v>4026</v>
      </c>
      <c r="C281" s="448">
        <v>45352</v>
      </c>
      <c r="D281" s="41">
        <v>400000</v>
      </c>
      <c r="E281" s="41">
        <v>50000</v>
      </c>
      <c r="F281" s="6" t="s">
        <v>1010</v>
      </c>
      <c r="G281" s="6">
        <v>10</v>
      </c>
    </row>
    <row r="282" spans="1:8" x14ac:dyDescent="0.2">
      <c r="B282" s="6" t="s">
        <v>4201</v>
      </c>
      <c r="C282" s="448">
        <v>44470</v>
      </c>
      <c r="D282" s="41">
        <v>800000</v>
      </c>
      <c r="E282" s="41">
        <v>150000</v>
      </c>
      <c r="F282" s="6" t="s">
        <v>1010</v>
      </c>
      <c r="G282" s="6">
        <v>8</v>
      </c>
    </row>
    <row r="283" spans="1:8" x14ac:dyDescent="0.2">
      <c r="B283" s="6" t="s">
        <v>4202</v>
      </c>
      <c r="C283" s="448">
        <v>44805</v>
      </c>
      <c r="D283" s="41">
        <v>30000</v>
      </c>
      <c r="E283" s="41">
        <v>5000</v>
      </c>
      <c r="F283" s="6" t="s">
        <v>3093</v>
      </c>
      <c r="G283" s="6">
        <v>7</v>
      </c>
    </row>
    <row r="285" spans="1:8" x14ac:dyDescent="0.2">
      <c r="A285" s="1" t="s">
        <v>4223</v>
      </c>
    </row>
    <row r="286" spans="1:8" ht="17" thickBot="1" x14ac:dyDescent="0.25"/>
    <row r="287" spans="1:8" ht="17" thickTop="1" x14ac:dyDescent="0.2">
      <c r="B287" s="656" t="s">
        <v>4036</v>
      </c>
      <c r="C287" s="657"/>
      <c r="D287" s="657"/>
      <c r="E287" s="658">
        <f>350000/10*10/12</f>
        <v>29166.666666666668</v>
      </c>
      <c r="F287" s="659"/>
      <c r="G287" s="659"/>
      <c r="H287" s="660" t="s">
        <v>4215</v>
      </c>
    </row>
    <row r="288" spans="1:8" x14ac:dyDescent="0.2">
      <c r="B288" s="661" t="s">
        <v>4212</v>
      </c>
      <c r="C288" s="2"/>
      <c r="D288" s="2"/>
      <c r="E288" s="650">
        <f>650000/8</f>
        <v>81250</v>
      </c>
      <c r="H288" s="662" t="s">
        <v>4216</v>
      </c>
    </row>
    <row r="289" spans="2:8" ht="17" thickBot="1" x14ac:dyDescent="0.25">
      <c r="B289" s="661" t="s">
        <v>4213</v>
      </c>
      <c r="C289" s="2"/>
      <c r="D289" s="2"/>
      <c r="E289" s="650">
        <f>C313</f>
        <v>5133.9285714285716</v>
      </c>
      <c r="F289" s="1" t="s">
        <v>4240</v>
      </c>
      <c r="H289" s="662"/>
    </row>
    <row r="290" spans="2:8" ht="17" thickBot="1" x14ac:dyDescent="0.25">
      <c r="B290" s="663" t="s">
        <v>4214</v>
      </c>
      <c r="C290" s="664"/>
      <c r="D290" s="664"/>
      <c r="E290" s="665">
        <f>SUM(E287:E289)</f>
        <v>115550.59523809524</v>
      </c>
      <c r="F290" s="666"/>
      <c r="G290" s="666"/>
      <c r="H290" s="667"/>
    </row>
    <row r="291" spans="2:8" ht="17" thickTop="1" x14ac:dyDescent="0.2"/>
    <row r="292" spans="2:8" x14ac:dyDescent="0.2">
      <c r="B292" s="1" t="s">
        <v>4217</v>
      </c>
    </row>
    <row r="293" spans="2:8" x14ac:dyDescent="0.2">
      <c r="B293" s="1" t="s">
        <v>4218</v>
      </c>
    </row>
    <row r="294" spans="2:8" x14ac:dyDescent="0.2">
      <c r="B294" s="1" t="s">
        <v>4219</v>
      </c>
      <c r="D294" s="1">
        <f>7*8/2</f>
        <v>28</v>
      </c>
      <c r="G294" s="1" t="s">
        <v>4220</v>
      </c>
    </row>
    <row r="295" spans="2:8" x14ac:dyDescent="0.2">
      <c r="B295" s="1" t="s">
        <v>4221</v>
      </c>
    </row>
    <row r="297" spans="2:8" x14ac:dyDescent="0.2">
      <c r="B297" s="1" t="s">
        <v>4222</v>
      </c>
    </row>
    <row r="299" spans="2:8" x14ac:dyDescent="0.2">
      <c r="B299" s="25" t="s">
        <v>3094</v>
      </c>
      <c r="C299" s="25" t="s">
        <v>3095</v>
      </c>
      <c r="D299" s="25" t="s">
        <v>3096</v>
      </c>
    </row>
    <row r="300" spans="2:8" x14ac:dyDescent="0.2">
      <c r="B300" s="120">
        <v>44835</v>
      </c>
      <c r="C300" s="120">
        <v>45200</v>
      </c>
      <c r="D300" s="1">
        <v>7</v>
      </c>
      <c r="E300" s="1" t="s">
        <v>4224</v>
      </c>
    </row>
    <row r="301" spans="2:8" x14ac:dyDescent="0.2">
      <c r="B301" s="249">
        <f>C300</f>
        <v>45200</v>
      </c>
      <c r="C301" s="249">
        <v>45566</v>
      </c>
      <c r="D301" s="3">
        <v>6</v>
      </c>
      <c r="E301" s="1" t="s">
        <v>4225</v>
      </c>
    </row>
    <row r="302" spans="2:8" x14ac:dyDescent="0.2">
      <c r="B302" s="249">
        <f>C301</f>
        <v>45566</v>
      </c>
      <c r="C302" s="249">
        <v>45931</v>
      </c>
      <c r="D302" s="3">
        <v>5</v>
      </c>
    </row>
    <row r="303" spans="2:8" x14ac:dyDescent="0.2">
      <c r="B303" s="120">
        <f>C302</f>
        <v>45931</v>
      </c>
      <c r="C303" s="120">
        <v>46296</v>
      </c>
      <c r="D303" s="1">
        <v>4</v>
      </c>
    </row>
    <row r="304" spans="2:8" x14ac:dyDescent="0.2">
      <c r="B304" s="120"/>
      <c r="C304" s="120"/>
      <c r="D304" s="1" t="s">
        <v>4226</v>
      </c>
    </row>
    <row r="305" spans="2:7" x14ac:dyDescent="0.2">
      <c r="B305" s="120"/>
      <c r="C305" s="120"/>
    </row>
    <row r="306" spans="2:7" x14ac:dyDescent="0.2">
      <c r="B306" s="120" t="s">
        <v>4227</v>
      </c>
      <c r="C306" s="120"/>
    </row>
    <row r="307" spans="2:7" x14ac:dyDescent="0.2">
      <c r="B307" s="120"/>
      <c r="C307" s="120" t="s">
        <v>4228</v>
      </c>
      <c r="G307" s="1">
        <v>6</v>
      </c>
    </row>
    <row r="308" spans="2:7" x14ac:dyDescent="0.2">
      <c r="B308" s="120"/>
      <c r="C308" s="120" t="s">
        <v>4229</v>
      </c>
      <c r="G308" s="1">
        <v>5</v>
      </c>
    </row>
    <row r="310" spans="2:7" x14ac:dyDescent="0.2">
      <c r="B310" s="1" t="s">
        <v>4230</v>
      </c>
    </row>
    <row r="311" spans="2:7" x14ac:dyDescent="0.2">
      <c r="B311" s="1" t="s">
        <v>4231</v>
      </c>
    </row>
    <row r="312" spans="2:7" x14ac:dyDescent="0.2">
      <c r="B312" s="1" t="s">
        <v>4232</v>
      </c>
    </row>
    <row r="313" spans="2:7" x14ac:dyDescent="0.2">
      <c r="C313" s="24">
        <f>25000*(6*9/12+5*3/12)/28</f>
        <v>5133.9285714285716</v>
      </c>
      <c r="G313" s="1" t="s">
        <v>4233</v>
      </c>
    </row>
    <row r="315" spans="2:7" x14ac:dyDescent="0.2">
      <c r="B315" s="1" t="s">
        <v>4075</v>
      </c>
    </row>
    <row r="316" spans="2:7" x14ac:dyDescent="0.2">
      <c r="B316" s="24">
        <v>30000</v>
      </c>
      <c r="C316" s="1" t="s">
        <v>677</v>
      </c>
    </row>
    <row r="317" spans="2:7" x14ac:dyDescent="0.2">
      <c r="B317" s="24">
        <v>5000</v>
      </c>
      <c r="C317" s="1" t="s">
        <v>4234</v>
      </c>
    </row>
    <row r="318" spans="2:7" x14ac:dyDescent="0.2">
      <c r="B318" s="45" t="s">
        <v>4235</v>
      </c>
      <c r="C318" s="1" t="s">
        <v>4236</v>
      </c>
    </row>
    <row r="319" spans="2:7" x14ac:dyDescent="0.2">
      <c r="B319" s="45" t="s">
        <v>4237</v>
      </c>
      <c r="C319" s="1" t="s">
        <v>4238</v>
      </c>
    </row>
    <row r="320" spans="2:7" x14ac:dyDescent="0.2">
      <c r="B320" s="24">
        <v>28</v>
      </c>
      <c r="C320" s="1" t="s">
        <v>4239</v>
      </c>
    </row>
    <row r="321" spans="1:9" x14ac:dyDescent="0.2">
      <c r="B321" s="24"/>
    </row>
    <row r="323" spans="1:9" ht="17" thickBot="1" x14ac:dyDescent="0.25"/>
    <row r="324" spans="1:9" ht="17" thickBot="1" x14ac:dyDescent="0.25">
      <c r="A324" s="671" t="s">
        <v>4241</v>
      </c>
      <c r="B324" s="121"/>
      <c r="C324" s="121"/>
      <c r="D324" s="121"/>
      <c r="E324" s="121"/>
      <c r="F324" s="121"/>
      <c r="G324" s="121"/>
      <c r="H324" s="121"/>
      <c r="I324" s="147"/>
    </row>
    <row r="326" spans="1:9" x14ac:dyDescent="0.2">
      <c r="A326" s="2" t="s">
        <v>4035</v>
      </c>
    </row>
    <row r="327" spans="1:9" x14ac:dyDescent="0.2">
      <c r="B327" s="36" t="s">
        <v>4022</v>
      </c>
      <c r="C327" s="36" t="s">
        <v>4023</v>
      </c>
      <c r="D327" s="36" t="s">
        <v>677</v>
      </c>
      <c r="E327" s="36" t="s">
        <v>1011</v>
      </c>
      <c r="F327" s="36" t="s">
        <v>4024</v>
      </c>
      <c r="G327" s="36" t="s">
        <v>4025</v>
      </c>
    </row>
    <row r="328" spans="1:9" x14ac:dyDescent="0.2">
      <c r="B328" s="6" t="s">
        <v>4026</v>
      </c>
      <c r="C328" s="448">
        <v>45352</v>
      </c>
      <c r="D328" s="41">
        <v>400000</v>
      </c>
      <c r="E328" s="41">
        <v>50000</v>
      </c>
      <c r="F328" s="6" t="s">
        <v>1010</v>
      </c>
      <c r="G328" s="6">
        <v>10</v>
      </c>
    </row>
    <row r="329" spans="1:9" x14ac:dyDescent="0.2">
      <c r="B329" s="6" t="s">
        <v>4201</v>
      </c>
      <c r="C329" s="448">
        <v>44470</v>
      </c>
      <c r="D329" s="41">
        <v>800000</v>
      </c>
      <c r="E329" s="41">
        <v>150000</v>
      </c>
      <c r="F329" s="6" t="s">
        <v>1010</v>
      </c>
      <c r="G329" s="6">
        <v>8</v>
      </c>
    </row>
    <row r="330" spans="1:9" x14ac:dyDescent="0.2">
      <c r="B330" s="6" t="s">
        <v>4202</v>
      </c>
      <c r="C330" s="448">
        <v>44805</v>
      </c>
      <c r="D330" s="41">
        <v>30000</v>
      </c>
      <c r="E330" s="41">
        <v>5000</v>
      </c>
      <c r="F330" s="6" t="s">
        <v>3093</v>
      </c>
      <c r="G330" s="6">
        <v>7</v>
      </c>
    </row>
    <row r="332" spans="1:9" x14ac:dyDescent="0.2">
      <c r="A332" s="1" t="s">
        <v>4223</v>
      </c>
    </row>
    <row r="334" spans="1:9" x14ac:dyDescent="0.2">
      <c r="D334" s="914" t="s">
        <v>4242</v>
      </c>
      <c r="E334" s="914"/>
      <c r="F334" s="914"/>
      <c r="G334" s="914"/>
    </row>
    <row r="335" spans="1:9" x14ac:dyDescent="0.2">
      <c r="D335" s="40" t="s">
        <v>4066</v>
      </c>
      <c r="E335" s="40" t="s">
        <v>4201</v>
      </c>
      <c r="F335" s="40" t="s">
        <v>4202</v>
      </c>
      <c r="G335" s="669" t="s">
        <v>272</v>
      </c>
    </row>
    <row r="336" spans="1:9" x14ac:dyDescent="0.2">
      <c r="C336" s="1" t="s">
        <v>677</v>
      </c>
      <c r="D336" s="44">
        <f>D328</f>
        <v>400000</v>
      </c>
      <c r="E336" s="44">
        <f>D329</f>
        <v>800000</v>
      </c>
      <c r="F336" s="44">
        <f>D330</f>
        <v>30000</v>
      </c>
      <c r="G336" s="652">
        <f>SUM(D336:F336)</f>
        <v>1230000</v>
      </c>
    </row>
    <row r="337" spans="2:8" ht="17" thickBot="1" x14ac:dyDescent="0.25">
      <c r="C337" s="1" t="s">
        <v>650</v>
      </c>
      <c r="D337" s="44">
        <f>-(400000-50000)/10*(1+10/12)</f>
        <v>-64166.666666666672</v>
      </c>
      <c r="E337" s="44">
        <f>-(800000-150000)/8*(4+3/12)</f>
        <v>-345312.5</v>
      </c>
      <c r="F337" s="44">
        <f>-D359</f>
        <v>-16964.285714285714</v>
      </c>
      <c r="G337" s="652">
        <f>SUM(D337:F337)</f>
        <v>-426443.45238095243</v>
      </c>
    </row>
    <row r="338" spans="2:8" ht="17" thickBot="1" x14ac:dyDescent="0.25">
      <c r="C338" s="1" t="s">
        <v>678</v>
      </c>
      <c r="D338" s="646">
        <f>D336+D337</f>
        <v>335833.33333333331</v>
      </c>
      <c r="E338" s="647">
        <f>E336+E337</f>
        <v>454687.5</v>
      </c>
      <c r="F338" s="647">
        <f>F336+F337</f>
        <v>13035.714285714286</v>
      </c>
      <c r="G338" s="670">
        <f>G336+G337</f>
        <v>803556.54761904757</v>
      </c>
    </row>
    <row r="340" spans="2:8" x14ac:dyDescent="0.2">
      <c r="B340" s="144" t="s">
        <v>4243</v>
      </c>
    </row>
    <row r="341" spans="2:8" x14ac:dyDescent="0.2">
      <c r="B341" s="1" t="s">
        <v>4244</v>
      </c>
      <c r="D341" s="1" t="s">
        <v>4245</v>
      </c>
    </row>
    <row r="342" spans="2:8" x14ac:dyDescent="0.2">
      <c r="B342" s="1" t="s">
        <v>4246</v>
      </c>
    </row>
    <row r="343" spans="2:8" x14ac:dyDescent="0.2">
      <c r="B343" s="1" t="s">
        <v>4247</v>
      </c>
      <c r="H343" s="1" t="s">
        <v>4248</v>
      </c>
    </row>
    <row r="345" spans="2:8" x14ac:dyDescent="0.2">
      <c r="B345" s="144" t="s">
        <v>4249</v>
      </c>
    </row>
    <row r="346" spans="2:8" x14ac:dyDescent="0.2">
      <c r="B346" s="1" t="s">
        <v>4244</v>
      </c>
      <c r="D346" s="1" t="s">
        <v>4250</v>
      </c>
    </row>
    <row r="347" spans="2:8" x14ac:dyDescent="0.2">
      <c r="B347" s="1" t="s">
        <v>4251</v>
      </c>
    </row>
    <row r="348" spans="2:8" x14ac:dyDescent="0.2">
      <c r="B348" s="1" t="s">
        <v>4252</v>
      </c>
      <c r="H348" s="1" t="s">
        <v>4253</v>
      </c>
    </row>
    <row r="350" spans="2:8" x14ac:dyDescent="0.2">
      <c r="B350" s="144" t="s">
        <v>4254</v>
      </c>
      <c r="E350" s="25" t="s">
        <v>3094</v>
      </c>
      <c r="F350" s="25" t="s">
        <v>3095</v>
      </c>
      <c r="G350" s="25" t="s">
        <v>3096</v>
      </c>
    </row>
    <row r="351" spans="2:8" x14ac:dyDescent="0.2">
      <c r="B351" s="1" t="s">
        <v>4255</v>
      </c>
      <c r="E351" s="249">
        <v>44835</v>
      </c>
      <c r="F351" s="249">
        <v>45200</v>
      </c>
      <c r="G351" s="3">
        <v>7</v>
      </c>
      <c r="H351" s="1" t="s">
        <v>4258</v>
      </c>
    </row>
    <row r="352" spans="2:8" x14ac:dyDescent="0.2">
      <c r="E352" s="249">
        <f>F351</f>
        <v>45200</v>
      </c>
      <c r="F352" s="249">
        <v>45566</v>
      </c>
      <c r="G352" s="3">
        <v>6</v>
      </c>
      <c r="H352" s="1" t="s">
        <v>4258</v>
      </c>
    </row>
    <row r="353" spans="1:9" x14ac:dyDescent="0.2">
      <c r="E353" s="249">
        <f>F352</f>
        <v>45566</v>
      </c>
      <c r="F353" s="249">
        <v>45931</v>
      </c>
      <c r="G353" s="3">
        <v>5</v>
      </c>
      <c r="H353" s="1" t="s">
        <v>4258</v>
      </c>
    </row>
    <row r="354" spans="1:9" x14ac:dyDescent="0.2">
      <c r="E354" s="668">
        <f>F353</f>
        <v>45931</v>
      </c>
      <c r="F354" s="668">
        <v>46296</v>
      </c>
      <c r="G354" s="16">
        <v>4</v>
      </c>
      <c r="H354" s="1" t="s">
        <v>4259</v>
      </c>
    </row>
    <row r="356" spans="1:9" x14ac:dyDescent="0.2">
      <c r="B356" s="1" t="s">
        <v>4256</v>
      </c>
    </row>
    <row r="357" spans="1:9" x14ac:dyDescent="0.2">
      <c r="B357" s="1" t="s">
        <v>4257</v>
      </c>
    </row>
    <row r="359" spans="1:9" x14ac:dyDescent="0.2">
      <c r="D359" s="44">
        <f>25000*(7+6+5+4*3/12)/28</f>
        <v>16964.285714285714</v>
      </c>
      <c r="H359" s="1" t="s">
        <v>4260</v>
      </c>
    </row>
    <row r="361" spans="1:9" x14ac:dyDescent="0.2">
      <c r="B361" s="1" t="s">
        <v>4075</v>
      </c>
    </row>
    <row r="362" spans="1:9" x14ac:dyDescent="0.2">
      <c r="B362" s="24">
        <v>30000</v>
      </c>
      <c r="C362" s="1" t="s">
        <v>677</v>
      </c>
    </row>
    <row r="363" spans="1:9" x14ac:dyDescent="0.2">
      <c r="B363" s="24">
        <v>5000</v>
      </c>
      <c r="C363" s="1" t="s">
        <v>1011</v>
      </c>
    </row>
    <row r="364" spans="1:9" x14ac:dyDescent="0.2">
      <c r="B364" s="1" t="s">
        <v>4261</v>
      </c>
      <c r="C364" s="1" t="s">
        <v>4262</v>
      </c>
    </row>
    <row r="365" spans="1:9" x14ac:dyDescent="0.2">
      <c r="B365" s="1">
        <v>28</v>
      </c>
      <c r="C365" s="1" t="s">
        <v>4263</v>
      </c>
    </row>
    <row r="367" spans="1:9" ht="17" thickBot="1" x14ac:dyDescent="0.25"/>
    <row r="368" spans="1:9" x14ac:dyDescent="0.2">
      <c r="A368" s="18" t="s">
        <v>4205</v>
      </c>
      <c r="B368" s="100"/>
      <c r="C368" s="100"/>
      <c r="D368" s="100"/>
      <c r="E368" s="100"/>
      <c r="F368" s="100"/>
      <c r="G368" s="100"/>
      <c r="H368" s="100"/>
      <c r="I368" s="19"/>
    </row>
    <row r="369" spans="1:9" x14ac:dyDescent="0.2">
      <c r="A369" s="106" t="s">
        <v>4265</v>
      </c>
      <c r="I369" s="107"/>
    </row>
    <row r="370" spans="1:9" ht="17" thickBot="1" x14ac:dyDescent="0.25">
      <c r="A370" s="20" t="s">
        <v>4207</v>
      </c>
      <c r="B370" s="103"/>
      <c r="C370" s="103"/>
      <c r="D370" s="103"/>
      <c r="E370" s="103"/>
      <c r="F370" s="103"/>
      <c r="G370" s="103"/>
      <c r="H370" s="103"/>
      <c r="I370" s="21"/>
    </row>
    <row r="372" spans="1:9" x14ac:dyDescent="0.2">
      <c r="A372" s="2" t="s">
        <v>4035</v>
      </c>
    </row>
    <row r="373" spans="1:9" x14ac:dyDescent="0.2">
      <c r="B373" s="36" t="s">
        <v>4022</v>
      </c>
      <c r="C373" s="36" t="s">
        <v>4023</v>
      </c>
      <c r="D373" s="36" t="s">
        <v>677</v>
      </c>
      <c r="E373" s="36" t="s">
        <v>1011</v>
      </c>
      <c r="F373" s="36" t="s">
        <v>4024</v>
      </c>
      <c r="G373" s="36" t="s">
        <v>4025</v>
      </c>
    </row>
    <row r="374" spans="1:9" x14ac:dyDescent="0.2">
      <c r="B374" s="6" t="s">
        <v>4026</v>
      </c>
      <c r="C374" s="448">
        <v>45352</v>
      </c>
      <c r="D374" s="41">
        <v>400000</v>
      </c>
      <c r="E374" s="41">
        <v>50000</v>
      </c>
      <c r="F374" s="6" t="s">
        <v>1010</v>
      </c>
      <c r="G374" s="6">
        <v>10</v>
      </c>
    </row>
    <row r="375" spans="1:9" x14ac:dyDescent="0.2">
      <c r="B375" s="6" t="s">
        <v>4201</v>
      </c>
      <c r="C375" s="448">
        <v>44470</v>
      </c>
      <c r="D375" s="41">
        <v>800000</v>
      </c>
      <c r="E375" s="41">
        <v>150000</v>
      </c>
      <c r="F375" s="6" t="s">
        <v>1010</v>
      </c>
      <c r="G375" s="6">
        <v>8</v>
      </c>
    </row>
    <row r="376" spans="1:9" x14ac:dyDescent="0.2">
      <c r="B376" s="6" t="s">
        <v>4202</v>
      </c>
      <c r="C376" s="448">
        <v>44805</v>
      </c>
      <c r="D376" s="41">
        <v>30000</v>
      </c>
      <c r="E376" s="41">
        <v>5000</v>
      </c>
      <c r="F376" s="6" t="s">
        <v>3093</v>
      </c>
      <c r="G376" s="6">
        <v>7</v>
      </c>
    </row>
    <row r="378" spans="1:9" x14ac:dyDescent="0.2">
      <c r="A378" s="1" t="s">
        <v>4223</v>
      </c>
    </row>
    <row r="380" spans="1:9" x14ac:dyDescent="0.2">
      <c r="C380" s="907" t="s">
        <v>4264</v>
      </c>
      <c r="D380" s="907"/>
      <c r="E380" s="907"/>
      <c r="F380" s="907"/>
    </row>
    <row r="381" spans="1:9" x14ac:dyDescent="0.2">
      <c r="C381" s="9" t="s">
        <v>4066</v>
      </c>
      <c r="D381" s="9" t="s">
        <v>4201</v>
      </c>
      <c r="E381" s="9" t="s">
        <v>4202</v>
      </c>
      <c r="F381" s="9" t="s">
        <v>272</v>
      </c>
      <c r="H381" s="1" t="s">
        <v>3564</v>
      </c>
    </row>
    <row r="382" spans="1:9" x14ac:dyDescent="0.2">
      <c r="B382" s="1" t="s">
        <v>677</v>
      </c>
      <c r="C382" s="44">
        <f>D374</f>
        <v>400000</v>
      </c>
      <c r="D382" s="44">
        <f>D375</f>
        <v>800000</v>
      </c>
      <c r="E382" s="44">
        <f>0</f>
        <v>0</v>
      </c>
      <c r="F382" s="44">
        <f>SUM(C382:E382)</f>
        <v>1200000</v>
      </c>
      <c r="H382" s="1" t="s">
        <v>4266</v>
      </c>
    </row>
    <row r="383" spans="1:9" ht="17" thickBot="1" x14ac:dyDescent="0.25">
      <c r="B383" s="1" t="s">
        <v>650</v>
      </c>
      <c r="C383" s="44">
        <f>-(400000-50000)/10*(2+10/12)</f>
        <v>-99166.666666666672</v>
      </c>
      <c r="D383" s="44">
        <f>-(800000-150000)/8*(5+3/12)</f>
        <v>-426562.5</v>
      </c>
      <c r="E383" s="44">
        <v>0</v>
      </c>
      <c r="F383" s="44">
        <f>SUM(C383:E383)</f>
        <v>-525729.16666666663</v>
      </c>
      <c r="H383" s="1" t="s">
        <v>4267</v>
      </c>
    </row>
    <row r="384" spans="1:9" ht="17" thickBot="1" x14ac:dyDescent="0.25">
      <c r="B384" s="1" t="s">
        <v>678</v>
      </c>
      <c r="C384" s="125">
        <f>C382+C383</f>
        <v>300833.33333333331</v>
      </c>
      <c r="D384" s="126">
        <f>D382+D383</f>
        <v>373437.5</v>
      </c>
      <c r="E384" s="126">
        <v>0</v>
      </c>
      <c r="F384" s="127">
        <f>F382+F383</f>
        <v>674270.83333333337</v>
      </c>
      <c r="H384" s="1" t="s">
        <v>4268</v>
      </c>
    </row>
    <row r="385" spans="2:8" x14ac:dyDescent="0.2">
      <c r="H385" s="1" t="s">
        <v>4269</v>
      </c>
    </row>
    <row r="386" spans="2:8" x14ac:dyDescent="0.2">
      <c r="B386" s="1" t="s">
        <v>693</v>
      </c>
      <c r="C386" s="44">
        <f>(400000-50000)/10</f>
        <v>35000</v>
      </c>
      <c r="D386" s="44">
        <f>(800000-150000)/8</f>
        <v>81250</v>
      </c>
      <c r="E386" s="44">
        <f>D404</f>
        <v>892.85714285714289</v>
      </c>
      <c r="F386" s="44">
        <f>SUM(C386:E386)</f>
        <v>117142.85714285714</v>
      </c>
    </row>
    <row r="387" spans="2:8" x14ac:dyDescent="0.2">
      <c r="C387" s="44"/>
      <c r="D387" s="44"/>
      <c r="E387" s="44"/>
      <c r="F387" s="44"/>
    </row>
    <row r="388" spans="2:8" x14ac:dyDescent="0.2">
      <c r="B388" s="1" t="s">
        <v>741</v>
      </c>
      <c r="C388" s="44"/>
      <c r="D388" s="44"/>
      <c r="E388" s="44">
        <f>D420</f>
        <v>3857.1428571428587</v>
      </c>
      <c r="F388" s="44"/>
    </row>
    <row r="389" spans="2:8" x14ac:dyDescent="0.2">
      <c r="C389" s="44"/>
      <c r="D389" s="44"/>
      <c r="E389" s="44"/>
      <c r="F389" s="44"/>
    </row>
    <row r="391" spans="2:8" x14ac:dyDescent="0.2">
      <c r="B391" s="144" t="s">
        <v>4270</v>
      </c>
    </row>
    <row r="392" spans="2:8" x14ac:dyDescent="0.2">
      <c r="B392" s="1" t="s">
        <v>4271</v>
      </c>
    </row>
    <row r="393" spans="2:8" x14ac:dyDescent="0.2">
      <c r="B393" s="1" t="s">
        <v>4272</v>
      </c>
    </row>
    <row r="395" spans="2:8" x14ac:dyDescent="0.2">
      <c r="B395" s="25" t="s">
        <v>3094</v>
      </c>
      <c r="C395" s="25" t="s">
        <v>3095</v>
      </c>
      <c r="D395" s="25" t="s">
        <v>3096</v>
      </c>
    </row>
    <row r="396" spans="2:8" x14ac:dyDescent="0.2">
      <c r="B396" s="120">
        <v>44835</v>
      </c>
      <c r="C396" s="120">
        <v>45200</v>
      </c>
      <c r="D396" s="1">
        <v>7</v>
      </c>
    </row>
    <row r="397" spans="2:8" x14ac:dyDescent="0.2">
      <c r="B397" s="120">
        <f>C396</f>
        <v>45200</v>
      </c>
      <c r="C397" s="120">
        <v>45566</v>
      </c>
      <c r="D397" s="1">
        <v>6</v>
      </c>
    </row>
    <row r="398" spans="2:8" x14ac:dyDescent="0.2">
      <c r="B398" s="120">
        <f>C397</f>
        <v>45566</v>
      </c>
      <c r="C398" s="120">
        <v>45931</v>
      </c>
      <c r="D398" s="1">
        <v>5</v>
      </c>
    </row>
    <row r="399" spans="2:8" x14ac:dyDescent="0.2">
      <c r="B399" s="668">
        <f>C398</f>
        <v>45931</v>
      </c>
      <c r="C399" s="668">
        <v>46296</v>
      </c>
      <c r="D399" s="16">
        <v>4</v>
      </c>
      <c r="E399" s="1" t="s">
        <v>4273</v>
      </c>
    </row>
    <row r="400" spans="2:8" x14ac:dyDescent="0.2">
      <c r="E400" s="1" t="s">
        <v>4274</v>
      </c>
    </row>
    <row r="402" spans="1:8" x14ac:dyDescent="0.2">
      <c r="A402" s="1" t="s">
        <v>1077</v>
      </c>
      <c r="B402" s="1" t="s">
        <v>4275</v>
      </c>
    </row>
    <row r="404" spans="1:8" x14ac:dyDescent="0.2">
      <c r="B404" s="1" t="s">
        <v>4217</v>
      </c>
      <c r="D404" s="44">
        <f>(30000-5000)*(4*3/12)/28</f>
        <v>892.85714285714289</v>
      </c>
      <c r="G404" s="1" t="s">
        <v>4276</v>
      </c>
    </row>
    <row r="406" spans="1:8" x14ac:dyDescent="0.2">
      <c r="B406" s="144" t="s">
        <v>4277</v>
      </c>
    </row>
    <row r="407" spans="1:8" x14ac:dyDescent="0.2">
      <c r="B407" s="1" t="s">
        <v>4278</v>
      </c>
    </row>
    <row r="408" spans="1:8" x14ac:dyDescent="0.2">
      <c r="B408" s="1" t="s">
        <v>4279</v>
      </c>
    </row>
    <row r="409" spans="1:8" x14ac:dyDescent="0.2">
      <c r="B409" s="1" t="s">
        <v>4280</v>
      </c>
    </row>
    <row r="411" spans="1:8" x14ac:dyDescent="0.2">
      <c r="D411" s="86">
        <v>46113</v>
      </c>
    </row>
    <row r="412" spans="1:8" x14ac:dyDescent="0.2">
      <c r="C412" s="1" t="s">
        <v>677</v>
      </c>
      <c r="D412" s="44">
        <v>30000</v>
      </c>
    </row>
    <row r="413" spans="1:8" x14ac:dyDescent="0.2">
      <c r="C413" s="1" t="s">
        <v>650</v>
      </c>
      <c r="D413" s="653">
        <f>-25000*(7+6+5+4*6/12)/28</f>
        <v>-17857.142857142859</v>
      </c>
      <c r="H413" s="1" t="s">
        <v>4281</v>
      </c>
    </row>
    <row r="414" spans="1:8" x14ac:dyDescent="0.2">
      <c r="C414" s="1" t="s">
        <v>678</v>
      </c>
      <c r="D414" s="134">
        <f>D412+D413</f>
        <v>12142.857142857141</v>
      </c>
    </row>
    <row r="416" spans="1:8" x14ac:dyDescent="0.2">
      <c r="B416" s="1" t="s">
        <v>4286</v>
      </c>
    </row>
    <row r="418" spans="1:5" x14ac:dyDescent="0.2">
      <c r="C418" s="1" t="s">
        <v>4287</v>
      </c>
      <c r="D418" s="44">
        <v>16000</v>
      </c>
    </row>
    <row r="419" spans="1:5" x14ac:dyDescent="0.2">
      <c r="C419" s="1" t="s">
        <v>678</v>
      </c>
      <c r="D419" s="44">
        <f>-D414</f>
        <v>-12142.857142857141</v>
      </c>
    </row>
    <row r="420" spans="1:5" x14ac:dyDescent="0.2">
      <c r="C420" s="1" t="s">
        <v>741</v>
      </c>
      <c r="D420" s="134">
        <f>D418+D419</f>
        <v>3857.1428571428587</v>
      </c>
      <c r="E420" s="1" t="s">
        <v>4288</v>
      </c>
    </row>
    <row r="421" spans="1:5" x14ac:dyDescent="0.2">
      <c r="D421" s="24"/>
    </row>
    <row r="423" spans="1:5" x14ac:dyDescent="0.2">
      <c r="B423" s="1" t="s">
        <v>4282</v>
      </c>
    </row>
    <row r="424" spans="1:5" x14ac:dyDescent="0.2">
      <c r="B424" s="24">
        <v>30000</v>
      </c>
      <c r="C424" s="1" t="s">
        <v>677</v>
      </c>
    </row>
    <row r="425" spans="1:5" x14ac:dyDescent="0.2">
      <c r="B425" s="24">
        <v>5000</v>
      </c>
      <c r="C425" s="1" t="s">
        <v>1011</v>
      </c>
    </row>
    <row r="426" spans="1:5" x14ac:dyDescent="0.2">
      <c r="B426" s="1" t="s">
        <v>4283</v>
      </c>
      <c r="C426" s="1" t="s">
        <v>4284</v>
      </c>
    </row>
    <row r="427" spans="1:5" x14ac:dyDescent="0.2">
      <c r="C427" s="1" t="s">
        <v>4285</v>
      </c>
    </row>
    <row r="428" spans="1:5" x14ac:dyDescent="0.2">
      <c r="B428" s="1">
        <v>28</v>
      </c>
      <c r="C428" s="1" t="s">
        <v>3093</v>
      </c>
    </row>
    <row r="430" spans="1:5" x14ac:dyDescent="0.2">
      <c r="A430" s="2" t="s">
        <v>4301</v>
      </c>
    </row>
    <row r="431" spans="1:5" x14ac:dyDescent="0.2">
      <c r="A431" s="1" t="s">
        <v>4289</v>
      </c>
    </row>
    <row r="433" spans="1:9" x14ac:dyDescent="0.2">
      <c r="A433" s="144" t="s">
        <v>4290</v>
      </c>
    </row>
    <row r="434" spans="1:9" x14ac:dyDescent="0.2">
      <c r="A434" s="1" t="s">
        <v>4291</v>
      </c>
    </row>
    <row r="435" spans="1:9" x14ac:dyDescent="0.2">
      <c r="A435" s="1" t="s">
        <v>4292</v>
      </c>
    </row>
    <row r="437" spans="1:9" ht="17" thickBot="1" x14ac:dyDescent="0.25">
      <c r="A437" s="144" t="s">
        <v>4293</v>
      </c>
    </row>
    <row r="438" spans="1:9" ht="17" thickTop="1" x14ac:dyDescent="0.2">
      <c r="A438" s="1" t="s">
        <v>1989</v>
      </c>
      <c r="F438" s="672" t="s">
        <v>4297</v>
      </c>
      <c r="G438" s="673"/>
      <c r="H438" s="674"/>
    </row>
    <row r="439" spans="1:9" x14ac:dyDescent="0.2">
      <c r="A439" s="1" t="s">
        <v>4294</v>
      </c>
      <c r="F439" s="675" t="s">
        <v>1989</v>
      </c>
      <c r="H439" s="676">
        <f>F386</f>
        <v>117142.85714285714</v>
      </c>
    </row>
    <row r="440" spans="1:9" x14ac:dyDescent="0.2">
      <c r="A440" s="1" t="s">
        <v>4295</v>
      </c>
      <c r="F440" s="675" t="s">
        <v>4298</v>
      </c>
      <c r="H440" s="676">
        <f>C386</f>
        <v>35000</v>
      </c>
    </row>
    <row r="441" spans="1:9" x14ac:dyDescent="0.2">
      <c r="A441" s="1" t="s">
        <v>4296</v>
      </c>
      <c r="F441" s="675" t="s">
        <v>4299</v>
      </c>
      <c r="H441" s="676">
        <f>D386</f>
        <v>81250</v>
      </c>
    </row>
    <row r="442" spans="1:9" ht="17" thickBot="1" x14ac:dyDescent="0.25">
      <c r="F442" s="677" t="s">
        <v>4300</v>
      </c>
      <c r="G442" s="678"/>
      <c r="H442" s="679">
        <f>E386</f>
        <v>892.85714285714289</v>
      </c>
    </row>
    <row r="443" spans="1:9" ht="18" thickTop="1" thickBot="1" x14ac:dyDescent="0.25"/>
    <row r="444" spans="1:9" ht="17" thickTop="1" x14ac:dyDescent="0.2">
      <c r="A444" s="144" t="s">
        <v>4302</v>
      </c>
      <c r="F444" s="672" t="s">
        <v>4297</v>
      </c>
      <c r="G444" s="673"/>
      <c r="H444" s="674"/>
    </row>
    <row r="445" spans="1:9" x14ac:dyDescent="0.2">
      <c r="A445" s="1" t="s">
        <v>1694</v>
      </c>
      <c r="F445" s="675" t="s">
        <v>4306</v>
      </c>
      <c r="H445" s="676">
        <v>16000</v>
      </c>
    </row>
    <row r="446" spans="1:9" x14ac:dyDescent="0.2">
      <c r="A446" s="1" t="s">
        <v>4303</v>
      </c>
      <c r="F446" s="675" t="s">
        <v>4307</v>
      </c>
      <c r="H446" s="676">
        <v>30000</v>
      </c>
    </row>
    <row r="447" spans="1:9" x14ac:dyDescent="0.2">
      <c r="A447" s="1" t="s">
        <v>4304</v>
      </c>
      <c r="F447" s="675" t="s">
        <v>4310</v>
      </c>
      <c r="H447" s="676">
        <f>-D413</f>
        <v>17857.142857142859</v>
      </c>
      <c r="I447" s="1" t="s">
        <v>4308</v>
      </c>
    </row>
    <row r="448" spans="1:9" ht="17" thickBot="1" x14ac:dyDescent="0.25">
      <c r="A448" s="1" t="s">
        <v>4305</v>
      </c>
      <c r="F448" s="677" t="s">
        <v>4136</v>
      </c>
      <c r="G448" s="678"/>
      <c r="H448" s="679">
        <f>D420</f>
        <v>3857.1428571428587</v>
      </c>
      <c r="I448" s="1" t="s">
        <v>4309</v>
      </c>
    </row>
    <row r="449" spans="1:8" ht="17" thickTop="1" x14ac:dyDescent="0.2"/>
    <row r="452" spans="1:8" x14ac:dyDescent="0.2">
      <c r="A452" s="7" t="s">
        <v>4311</v>
      </c>
      <c r="B452" s="7"/>
      <c r="C452" s="7"/>
      <c r="D452" s="7"/>
      <c r="E452" s="7"/>
      <c r="F452" s="7"/>
      <c r="G452" s="7"/>
      <c r="H452" s="7"/>
    </row>
    <row r="466" spans="1:8" x14ac:dyDescent="0.2">
      <c r="A466" s="25" t="s">
        <v>4312</v>
      </c>
      <c r="B466" s="25"/>
      <c r="C466" s="25"/>
      <c r="D466" s="25"/>
      <c r="E466" s="25"/>
      <c r="F466" s="25"/>
      <c r="G466" s="25"/>
      <c r="H466" s="25"/>
    </row>
    <row r="468" spans="1:8" x14ac:dyDescent="0.2">
      <c r="C468" s="86">
        <v>45657</v>
      </c>
      <c r="D468" s="86">
        <v>46022</v>
      </c>
      <c r="E468" s="86">
        <v>46387</v>
      </c>
    </row>
    <row r="469" spans="1:8" x14ac:dyDescent="0.2">
      <c r="B469" s="1" t="s">
        <v>677</v>
      </c>
      <c r="C469" s="44">
        <f>400000+30000+40000</f>
        <v>470000</v>
      </c>
      <c r="D469" s="44">
        <f>400000+30000+40000</f>
        <v>470000</v>
      </c>
      <c r="E469" s="44">
        <f>400000+30000+40000</f>
        <v>470000</v>
      </c>
    </row>
    <row r="470" spans="1:8" x14ac:dyDescent="0.2">
      <c r="B470" s="1" t="s">
        <v>650</v>
      </c>
      <c r="C470" s="44">
        <f>-C473</f>
        <v>-19500</v>
      </c>
      <c r="D470" s="44">
        <f>C470-D473</f>
        <v>-97500</v>
      </c>
      <c r="E470" s="44">
        <f>D470-E473</f>
        <v>-175500</v>
      </c>
    </row>
    <row r="471" spans="1:8" x14ac:dyDescent="0.2">
      <c r="B471" s="1" t="s">
        <v>678</v>
      </c>
      <c r="C471" s="408">
        <f>C469+C470</f>
        <v>450500</v>
      </c>
      <c r="D471" s="408">
        <f>D469+D470</f>
        <v>372500</v>
      </c>
      <c r="E471" s="408">
        <f>E469+E470</f>
        <v>294500</v>
      </c>
    </row>
    <row r="472" spans="1:8" x14ac:dyDescent="0.2">
      <c r="C472" s="44"/>
      <c r="D472" s="44"/>
      <c r="E472" s="44"/>
    </row>
    <row r="473" spans="1:8" x14ac:dyDescent="0.2">
      <c r="B473" s="1" t="s">
        <v>693</v>
      </c>
      <c r="C473" s="44">
        <f>(470000-80000)/5*3/12</f>
        <v>19500</v>
      </c>
      <c r="D473" s="44">
        <f>(470000-80000)/5</f>
        <v>78000</v>
      </c>
      <c r="E473" s="44">
        <f>(470000-80000)/5</f>
        <v>78000</v>
      </c>
    </row>
    <row r="475" spans="1:8" x14ac:dyDescent="0.2">
      <c r="A475" s="25" t="s">
        <v>4313</v>
      </c>
      <c r="B475" s="25"/>
      <c r="C475" s="25"/>
      <c r="D475" s="25"/>
      <c r="E475" s="25"/>
      <c r="F475" s="25"/>
      <c r="G475" s="25"/>
      <c r="H475" s="25"/>
    </row>
    <row r="477" spans="1:8" x14ac:dyDescent="0.2">
      <c r="B477" s="1" t="s">
        <v>4314</v>
      </c>
    </row>
    <row r="478" spans="1:8" x14ac:dyDescent="0.2">
      <c r="B478" s="1" t="s">
        <v>4315</v>
      </c>
    </row>
    <row r="480" spans="1:8" x14ac:dyDescent="0.2">
      <c r="C480" s="86">
        <v>46569</v>
      </c>
    </row>
    <row r="481" spans="1:6" x14ac:dyDescent="0.2">
      <c r="B481" s="1" t="s">
        <v>677</v>
      </c>
      <c r="C481" s="44">
        <f>C469</f>
        <v>470000</v>
      </c>
    </row>
    <row r="482" spans="1:6" x14ac:dyDescent="0.2">
      <c r="B482" s="1" t="s">
        <v>650</v>
      </c>
      <c r="C482" s="44">
        <f>-(470000-80000)/5*(2 + 9/12)</f>
        <v>-214500</v>
      </c>
      <c r="F482" s="1" t="s">
        <v>4316</v>
      </c>
    </row>
    <row r="483" spans="1:6" x14ac:dyDescent="0.2">
      <c r="B483" s="1" t="s">
        <v>678</v>
      </c>
      <c r="C483" s="408">
        <f>C481+C482</f>
        <v>255500</v>
      </c>
    </row>
    <row r="485" spans="1:6" x14ac:dyDescent="0.2">
      <c r="B485" s="1" t="s">
        <v>4317</v>
      </c>
    </row>
    <row r="487" spans="1:6" x14ac:dyDescent="0.2">
      <c r="B487" s="1" t="s">
        <v>724</v>
      </c>
      <c r="C487" s="41">
        <v>172000</v>
      </c>
    </row>
    <row r="488" spans="1:6" x14ac:dyDescent="0.2">
      <c r="B488" s="1" t="s">
        <v>678</v>
      </c>
      <c r="C488" s="44">
        <f>-C483</f>
        <v>-255500</v>
      </c>
    </row>
    <row r="489" spans="1:6" x14ac:dyDescent="0.2">
      <c r="B489" s="1" t="s">
        <v>729</v>
      </c>
      <c r="C489" s="408">
        <f>C487+C488</f>
        <v>-83500</v>
      </c>
    </row>
    <row r="491" spans="1:6" x14ac:dyDescent="0.2">
      <c r="A491" s="2" t="s">
        <v>4326</v>
      </c>
    </row>
    <row r="493" spans="1:6" x14ac:dyDescent="0.2">
      <c r="A493" s="446">
        <v>45444</v>
      </c>
      <c r="B493" s="25" t="s">
        <v>4318</v>
      </c>
      <c r="C493" s="25"/>
      <c r="D493" s="25"/>
    </row>
    <row r="494" spans="1:6" x14ac:dyDescent="0.2">
      <c r="B494" s="1" t="s">
        <v>4319</v>
      </c>
      <c r="D494" s="24">
        <v>470000</v>
      </c>
    </row>
    <row r="495" spans="1:6" x14ac:dyDescent="0.2">
      <c r="B495" s="1" t="s">
        <v>2696</v>
      </c>
      <c r="D495" s="24">
        <v>470000</v>
      </c>
    </row>
    <row r="497" spans="1:12" x14ac:dyDescent="0.2">
      <c r="A497" s="25">
        <v>2024</v>
      </c>
      <c r="B497" s="25" t="s">
        <v>4320</v>
      </c>
      <c r="C497" s="25"/>
      <c r="E497" s="25">
        <v>2025</v>
      </c>
      <c r="F497" s="25" t="s">
        <v>4320</v>
      </c>
      <c r="G497" s="25"/>
      <c r="I497" s="25">
        <v>2026</v>
      </c>
      <c r="J497" s="25" t="s">
        <v>4320</v>
      </c>
      <c r="K497" s="25"/>
    </row>
    <row r="498" spans="1:12" x14ac:dyDescent="0.2">
      <c r="B498" s="1" t="s">
        <v>1989</v>
      </c>
      <c r="D498" s="23">
        <f>C473</f>
        <v>19500</v>
      </c>
      <c r="F498" s="1" t="s">
        <v>1989</v>
      </c>
      <c r="H498" s="24">
        <v>78000</v>
      </c>
      <c r="J498" s="1" t="s">
        <v>1989</v>
      </c>
      <c r="L498" s="24">
        <v>78000</v>
      </c>
    </row>
    <row r="499" spans="1:12" x14ac:dyDescent="0.2">
      <c r="B499" s="1" t="s">
        <v>4321</v>
      </c>
      <c r="D499" s="23">
        <f>D498</f>
        <v>19500</v>
      </c>
      <c r="F499" s="1" t="s">
        <v>4321</v>
      </c>
      <c r="H499" s="24">
        <f>H498</f>
        <v>78000</v>
      </c>
      <c r="J499" s="1" t="s">
        <v>4321</v>
      </c>
      <c r="L499" s="24">
        <f>L498</f>
        <v>78000</v>
      </c>
    </row>
    <row r="501" spans="1:12" x14ac:dyDescent="0.2">
      <c r="A501" s="25">
        <v>2027</v>
      </c>
      <c r="B501" s="25" t="s">
        <v>4323</v>
      </c>
      <c r="C501" s="25"/>
    </row>
    <row r="502" spans="1:12" x14ac:dyDescent="0.2">
      <c r="B502" s="1" t="s">
        <v>1989</v>
      </c>
      <c r="D502" s="23">
        <f>(470000-80000)/5*6/12</f>
        <v>39000</v>
      </c>
    </row>
    <row r="503" spans="1:12" x14ac:dyDescent="0.2">
      <c r="B503" s="1" t="s">
        <v>4322</v>
      </c>
      <c r="D503" s="23">
        <f>D502</f>
        <v>39000</v>
      </c>
    </row>
    <row r="505" spans="1:12" x14ac:dyDescent="0.2">
      <c r="A505" s="25">
        <v>2027</v>
      </c>
      <c r="B505" s="25" t="s">
        <v>4324</v>
      </c>
      <c r="C505" s="25"/>
      <c r="D505" s="25"/>
    </row>
    <row r="506" spans="1:12" x14ac:dyDescent="0.2">
      <c r="B506" s="1" t="s">
        <v>4325</v>
      </c>
      <c r="D506" s="24">
        <f>C487</f>
        <v>172000</v>
      </c>
    </row>
    <row r="507" spans="1:12" x14ac:dyDescent="0.2">
      <c r="B507" s="1" t="s">
        <v>4327</v>
      </c>
      <c r="D507" s="24">
        <v>470000</v>
      </c>
    </row>
    <row r="508" spans="1:12" x14ac:dyDescent="0.2">
      <c r="B508" s="1" t="s">
        <v>4328</v>
      </c>
      <c r="D508" s="23">
        <f>-C482</f>
        <v>214500</v>
      </c>
      <c r="E508" s="1" t="s">
        <v>4329</v>
      </c>
    </row>
    <row r="509" spans="1:12" x14ac:dyDescent="0.2">
      <c r="B509" s="1" t="s">
        <v>2157</v>
      </c>
      <c r="D509" s="23">
        <f>-C489</f>
        <v>83500</v>
      </c>
      <c r="E509" s="1" t="s">
        <v>4330</v>
      </c>
    </row>
    <row r="524" spans="1:7" x14ac:dyDescent="0.2">
      <c r="A524" s="1" t="s">
        <v>4331</v>
      </c>
    </row>
    <row r="525" spans="1:7" x14ac:dyDescent="0.2">
      <c r="A525" s="1" t="s">
        <v>4332</v>
      </c>
    </row>
    <row r="526" spans="1:7" x14ac:dyDescent="0.2">
      <c r="B526" s="1" t="s">
        <v>4333</v>
      </c>
      <c r="G526" s="1" t="s">
        <v>4334</v>
      </c>
    </row>
    <row r="528" spans="1:7" x14ac:dyDescent="0.2">
      <c r="B528" s="25" t="s">
        <v>3094</v>
      </c>
      <c r="C528" s="25" t="s">
        <v>3095</v>
      </c>
      <c r="D528" s="36" t="s">
        <v>3096</v>
      </c>
      <c r="F528" s="1" t="s">
        <v>4335</v>
      </c>
    </row>
    <row r="529" spans="1:8" x14ac:dyDescent="0.2">
      <c r="B529" s="120">
        <v>44105</v>
      </c>
      <c r="C529" s="120">
        <v>44470</v>
      </c>
      <c r="D529" s="6">
        <v>5</v>
      </c>
      <c r="F529" s="1" t="s">
        <v>4336</v>
      </c>
    </row>
    <row r="530" spans="1:8" x14ac:dyDescent="0.2">
      <c r="B530" s="120">
        <f>C529</f>
        <v>44470</v>
      </c>
      <c r="C530" s="120">
        <v>44835</v>
      </c>
      <c r="D530" s="6">
        <v>4</v>
      </c>
      <c r="F530" s="1" t="s">
        <v>4337</v>
      </c>
    </row>
    <row r="531" spans="1:8" x14ac:dyDescent="0.2">
      <c r="B531" s="120">
        <f>C530</f>
        <v>44835</v>
      </c>
      <c r="C531" s="120">
        <v>45200</v>
      </c>
      <c r="D531" s="6">
        <v>3</v>
      </c>
    </row>
    <row r="532" spans="1:8" x14ac:dyDescent="0.2">
      <c r="D532" s="6"/>
    </row>
    <row r="533" spans="1:8" x14ac:dyDescent="0.2">
      <c r="A533" s="1" t="s">
        <v>4342</v>
      </c>
      <c r="B533" s="1" t="s">
        <v>4338</v>
      </c>
      <c r="D533" s="44">
        <f>7500*(5*3/12)/15</f>
        <v>625</v>
      </c>
      <c r="H533" s="1" t="s">
        <v>4339</v>
      </c>
    </row>
    <row r="534" spans="1:8" x14ac:dyDescent="0.2">
      <c r="A534" s="1" t="s">
        <v>4343</v>
      </c>
      <c r="B534" s="1" t="s">
        <v>4340</v>
      </c>
      <c r="D534" s="44">
        <f>7500*(5*9/12+4*3/12)/15</f>
        <v>2375</v>
      </c>
      <c r="H534" s="1" t="s">
        <v>4341</v>
      </c>
    </row>
    <row r="536" spans="1:8" x14ac:dyDescent="0.2">
      <c r="A536" s="1" t="s">
        <v>4344</v>
      </c>
      <c r="B536" s="1" t="s">
        <v>4345</v>
      </c>
    </row>
    <row r="538" spans="1:8" x14ac:dyDescent="0.2">
      <c r="C538" s="86">
        <v>45199</v>
      </c>
    </row>
    <row r="539" spans="1:8" x14ac:dyDescent="0.2">
      <c r="B539" s="1" t="s">
        <v>677</v>
      </c>
      <c r="C539" s="44">
        <v>10000</v>
      </c>
    </row>
    <row r="540" spans="1:8" x14ac:dyDescent="0.2">
      <c r="B540" s="1" t="s">
        <v>2360</v>
      </c>
      <c r="C540" s="44">
        <f>-7500*(5+4+3)/15</f>
        <v>-6000</v>
      </c>
      <c r="H540" s="1" t="s">
        <v>4346</v>
      </c>
    </row>
    <row r="541" spans="1:8" x14ac:dyDescent="0.2">
      <c r="B541" s="1" t="s">
        <v>678</v>
      </c>
      <c r="C541" s="408">
        <f>C539+C540</f>
        <v>4000</v>
      </c>
    </row>
    <row r="543" spans="1:8" x14ac:dyDescent="0.2">
      <c r="B543" s="1" t="s">
        <v>4349</v>
      </c>
    </row>
    <row r="544" spans="1:8" x14ac:dyDescent="0.2">
      <c r="B544" s="1" t="s">
        <v>4347</v>
      </c>
      <c r="E544" s="41">
        <v>6400</v>
      </c>
    </row>
    <row r="545" spans="2:5" x14ac:dyDescent="0.2">
      <c r="B545" s="1" t="s">
        <v>4348</v>
      </c>
      <c r="E545" s="44">
        <f>-C541</f>
        <v>-4000</v>
      </c>
    </row>
    <row r="546" spans="2:5" x14ac:dyDescent="0.2">
      <c r="B546" s="1" t="s">
        <v>759</v>
      </c>
      <c r="E546" s="558">
        <f>E544+E545</f>
        <v>2400</v>
      </c>
    </row>
  </sheetData>
  <mergeCells count="4">
    <mergeCell ref="D129:G129"/>
    <mergeCell ref="H153:I153"/>
    <mergeCell ref="D334:G334"/>
    <mergeCell ref="C380:F380"/>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B6BDD-D9A9-FF49-832C-0F1825463D0E}">
  <dimension ref="A1:L902"/>
  <sheetViews>
    <sheetView rightToLeft="1" topLeftCell="A495" zoomScale="338" zoomScaleNormal="400" workbookViewId="0">
      <selection activeCell="D507" sqref="D507"/>
    </sheetView>
  </sheetViews>
  <sheetFormatPr baseColWidth="10" defaultRowHeight="16" x14ac:dyDescent="0.2"/>
  <cols>
    <col min="1" max="1" width="32" style="1" customWidth="1"/>
    <col min="2" max="2" width="10.83203125" style="1"/>
    <col min="3" max="7" width="10.83203125" style="6"/>
    <col min="8" max="16384" width="10.83203125" style="1"/>
  </cols>
  <sheetData>
    <row r="1" spans="1:8" x14ac:dyDescent="0.2">
      <c r="A1" s="829" t="s">
        <v>4350</v>
      </c>
      <c r="B1" s="829"/>
      <c r="C1" s="829"/>
      <c r="D1" s="829"/>
      <c r="E1" s="829"/>
      <c r="F1" s="829"/>
      <c r="G1" s="829"/>
      <c r="H1" s="829"/>
    </row>
    <row r="2" spans="1:8" x14ac:dyDescent="0.2">
      <c r="G2" s="145"/>
    </row>
    <row r="3" spans="1:8" x14ac:dyDescent="0.2">
      <c r="A3" s="1" t="s">
        <v>4351</v>
      </c>
      <c r="G3" s="145"/>
    </row>
    <row r="4" spans="1:8" ht="17" thickBot="1" x14ac:dyDescent="0.25">
      <c r="G4" s="145"/>
    </row>
    <row r="5" spans="1:8" x14ac:dyDescent="0.2">
      <c r="A5" s="180" t="s">
        <v>4352</v>
      </c>
      <c r="B5" s="411"/>
      <c r="C5" s="460"/>
      <c r="D5" s="460"/>
      <c r="E5" s="460"/>
      <c r="F5" s="460"/>
      <c r="G5" s="460"/>
      <c r="H5" s="412"/>
    </row>
    <row r="6" spans="1:8" ht="17" thickBot="1" x14ac:dyDescent="0.25">
      <c r="A6" s="153" t="s">
        <v>944</v>
      </c>
      <c r="B6" s="154"/>
      <c r="C6" s="164"/>
      <c r="D6" s="164"/>
      <c r="E6" s="164"/>
      <c r="F6" s="164"/>
      <c r="G6" s="164"/>
      <c r="H6" s="155"/>
    </row>
    <row r="7" spans="1:8" ht="17" thickBot="1" x14ac:dyDescent="0.25"/>
    <row r="8" spans="1:8" x14ac:dyDescent="0.2">
      <c r="A8" s="180" t="s">
        <v>4353</v>
      </c>
      <c r="B8" s="100"/>
      <c r="C8" s="179"/>
      <c r="D8" s="179"/>
      <c r="E8" s="179"/>
      <c r="F8" s="179"/>
      <c r="G8" s="179"/>
      <c r="H8" s="19"/>
    </row>
    <row r="9" spans="1:8" x14ac:dyDescent="0.2">
      <c r="A9" s="106" t="s">
        <v>4354</v>
      </c>
      <c r="H9" s="107"/>
    </row>
    <row r="10" spans="1:8" x14ac:dyDescent="0.2">
      <c r="A10" s="106" t="s">
        <v>4355</v>
      </c>
      <c r="H10" s="107"/>
    </row>
    <row r="11" spans="1:8" x14ac:dyDescent="0.2">
      <c r="A11" s="106"/>
      <c r="H11" s="107"/>
    </row>
    <row r="12" spans="1:8" ht="17" thickBot="1" x14ac:dyDescent="0.25">
      <c r="A12" s="20" t="s">
        <v>4356</v>
      </c>
      <c r="B12" s="103"/>
      <c r="C12" s="158"/>
      <c r="D12" s="158"/>
      <c r="E12" s="158"/>
      <c r="F12" s="158"/>
      <c r="G12" s="158"/>
      <c r="H12" s="21"/>
    </row>
    <row r="14" spans="1:8" x14ac:dyDescent="0.2">
      <c r="A14" s="538" t="s">
        <v>4357</v>
      </c>
      <c r="B14" s="537"/>
      <c r="C14" s="176"/>
      <c r="D14" s="176"/>
      <c r="E14" s="176"/>
      <c r="F14" s="176"/>
      <c r="G14" s="176"/>
      <c r="H14" s="537"/>
    </row>
    <row r="15" spans="1:8" x14ac:dyDescent="0.2">
      <c r="A15" s="1" t="s">
        <v>4358</v>
      </c>
    </row>
    <row r="16" spans="1:8" x14ac:dyDescent="0.2">
      <c r="A16" s="1" t="s">
        <v>4359</v>
      </c>
    </row>
    <row r="17" spans="1:8" x14ac:dyDescent="0.2">
      <c r="A17" s="1" t="s">
        <v>4360</v>
      </c>
    </row>
    <row r="18" spans="1:8" x14ac:dyDescent="0.2">
      <c r="A18" s="1" t="s">
        <v>4361</v>
      </c>
    </row>
    <row r="19" spans="1:8" x14ac:dyDescent="0.2">
      <c r="A19" s="1" t="s">
        <v>4362</v>
      </c>
    </row>
    <row r="21" spans="1:8" x14ac:dyDescent="0.2">
      <c r="A21" s="1" t="s">
        <v>4363</v>
      </c>
    </row>
    <row r="22" spans="1:8" x14ac:dyDescent="0.2">
      <c r="A22" s="1" t="s">
        <v>4364</v>
      </c>
    </row>
    <row r="24" spans="1:8" x14ac:dyDescent="0.2">
      <c r="A24" s="1" t="s">
        <v>4365</v>
      </c>
    </row>
    <row r="25" spans="1:8" x14ac:dyDescent="0.2">
      <c r="A25" s="1" t="s">
        <v>4366</v>
      </c>
    </row>
    <row r="27" spans="1:8" x14ac:dyDescent="0.2">
      <c r="A27" s="537" t="s">
        <v>4443</v>
      </c>
      <c r="B27" s="537"/>
      <c r="C27" s="176"/>
      <c r="D27" s="176"/>
      <c r="E27" s="176"/>
      <c r="F27" s="176"/>
      <c r="G27" s="176"/>
      <c r="H27" s="537"/>
    </row>
    <row r="43" spans="1:1" x14ac:dyDescent="0.2">
      <c r="A43" s="1" t="s">
        <v>864</v>
      </c>
    </row>
    <row r="44" spans="1:1" x14ac:dyDescent="0.2">
      <c r="A44" s="1" t="s">
        <v>4367</v>
      </c>
    </row>
    <row r="45" spans="1:1" x14ac:dyDescent="0.2">
      <c r="A45" s="1" t="s">
        <v>4368</v>
      </c>
    </row>
    <row r="46" spans="1:1" x14ac:dyDescent="0.2">
      <c r="A46" s="1" t="s">
        <v>4369</v>
      </c>
    </row>
    <row r="48" spans="1:1" x14ac:dyDescent="0.2">
      <c r="A48" s="1" t="s">
        <v>4371</v>
      </c>
    </row>
    <row r="50" spans="1:7" ht="51" x14ac:dyDescent="0.2">
      <c r="A50" s="323" t="s">
        <v>4370</v>
      </c>
      <c r="B50" s="682" t="s">
        <v>4374</v>
      </c>
      <c r="C50" s="682" t="s">
        <v>4381</v>
      </c>
      <c r="D50" s="680" t="s">
        <v>3517</v>
      </c>
      <c r="E50" s="682" t="s">
        <v>4408</v>
      </c>
      <c r="F50" s="680" t="s">
        <v>4071</v>
      </c>
    </row>
    <row r="51" spans="1:7" x14ac:dyDescent="0.2">
      <c r="A51" s="323" t="s">
        <v>4372</v>
      </c>
      <c r="B51" s="681">
        <f>50000*3</f>
        <v>150000</v>
      </c>
      <c r="C51" s="680"/>
      <c r="D51" s="681">
        <f>F51-B51</f>
        <v>220000</v>
      </c>
      <c r="E51" s="680"/>
      <c r="F51" s="681">
        <v>370000</v>
      </c>
    </row>
    <row r="52" spans="1:7" x14ac:dyDescent="0.2">
      <c r="A52" s="323" t="s">
        <v>4380</v>
      </c>
      <c r="B52" s="323"/>
      <c r="C52" s="681">
        <f>70000*1</f>
        <v>70000</v>
      </c>
      <c r="D52" s="681">
        <f>F52-C52</f>
        <v>25000</v>
      </c>
      <c r="E52" s="680"/>
      <c r="F52" s="681">
        <f>98000-3000</f>
        <v>95000</v>
      </c>
    </row>
    <row r="53" spans="1:7" x14ac:dyDescent="0.2">
      <c r="A53" s="323" t="s">
        <v>4387</v>
      </c>
      <c r="B53" s="685">
        <f>-B51</f>
        <v>-150000</v>
      </c>
      <c r="C53" s="681">
        <f>-B53</f>
        <v>150000</v>
      </c>
      <c r="D53" s="680"/>
      <c r="E53" s="680"/>
      <c r="F53" s="680">
        <v>0</v>
      </c>
    </row>
    <row r="54" spans="1:7" x14ac:dyDescent="0.2">
      <c r="A54" s="323" t="s">
        <v>4398</v>
      </c>
      <c r="B54" s="323"/>
      <c r="C54" s="681">
        <f>10%*(150000+70000)</f>
        <v>22000</v>
      </c>
      <c r="D54" s="685">
        <f>F54-C54</f>
        <v>-22000</v>
      </c>
      <c r="E54" s="680"/>
      <c r="F54" s="680">
        <v>0</v>
      </c>
    </row>
    <row r="55" spans="1:7" x14ac:dyDescent="0.2">
      <c r="A55" s="323" t="s">
        <v>1506</v>
      </c>
      <c r="B55" s="323"/>
      <c r="C55" s="680"/>
      <c r="D55" s="680"/>
      <c r="E55" s="681">
        <v>320000</v>
      </c>
      <c r="F55" s="681">
        <f>E55</f>
        <v>320000</v>
      </c>
    </row>
    <row r="56" spans="1:7" x14ac:dyDescent="0.2">
      <c r="A56" s="323" t="s">
        <v>4409</v>
      </c>
      <c r="B56" s="323"/>
      <c r="C56" s="680"/>
      <c r="D56" s="680"/>
      <c r="E56" s="685">
        <v>-38000</v>
      </c>
      <c r="F56" s="685">
        <f>E56</f>
        <v>-38000</v>
      </c>
    </row>
    <row r="57" spans="1:7" x14ac:dyDescent="0.2">
      <c r="A57" s="323" t="s">
        <v>4410</v>
      </c>
      <c r="B57" s="686">
        <f>SUM(B51:B56)</f>
        <v>0</v>
      </c>
      <c r="C57" s="686">
        <f t="shared" ref="C57:F57" si="0">SUM(C51:C56)</f>
        <v>242000</v>
      </c>
      <c r="D57" s="686">
        <f t="shared" si="0"/>
        <v>223000</v>
      </c>
      <c r="E57" s="686">
        <f t="shared" si="0"/>
        <v>282000</v>
      </c>
      <c r="F57" s="686">
        <f t="shared" si="0"/>
        <v>747000</v>
      </c>
      <c r="G57" s="1"/>
    </row>
    <row r="59" spans="1:7" x14ac:dyDescent="0.2">
      <c r="A59" s="1" t="s">
        <v>1793</v>
      </c>
    </row>
    <row r="60" spans="1:7" x14ac:dyDescent="0.2">
      <c r="A60" s="1" t="s">
        <v>4382</v>
      </c>
    </row>
    <row r="61" spans="1:7" x14ac:dyDescent="0.2">
      <c r="A61" s="1" t="s">
        <v>4373</v>
      </c>
    </row>
    <row r="62" spans="1:7" x14ac:dyDescent="0.2">
      <c r="A62" s="1" t="s">
        <v>4375</v>
      </c>
    </row>
    <row r="63" spans="1:7" x14ac:dyDescent="0.2">
      <c r="A63" s="1" t="s">
        <v>4376</v>
      </c>
    </row>
    <row r="65" spans="1:8" x14ac:dyDescent="0.2">
      <c r="B65" s="2" t="s">
        <v>4377</v>
      </c>
      <c r="C65" s="150"/>
      <c r="D65" s="150"/>
      <c r="E65" s="150"/>
      <c r="F65" s="150"/>
      <c r="G65" s="150"/>
    </row>
    <row r="66" spans="1:8" x14ac:dyDescent="0.2">
      <c r="B66" s="2" t="s">
        <v>4378</v>
      </c>
      <c r="C66" s="150"/>
      <c r="D66" s="150"/>
      <c r="E66" s="150"/>
      <c r="F66" s="150"/>
      <c r="G66" s="150"/>
    </row>
    <row r="67" spans="1:8" x14ac:dyDescent="0.2">
      <c r="B67" s="2" t="s">
        <v>4379</v>
      </c>
    </row>
    <row r="68" spans="1:8" x14ac:dyDescent="0.2">
      <c r="B68" s="2"/>
    </row>
    <row r="69" spans="1:8" x14ac:dyDescent="0.2">
      <c r="A69" s="1" t="s">
        <v>4383</v>
      </c>
      <c r="B69" s="2"/>
    </row>
    <row r="70" spans="1:8" x14ac:dyDescent="0.2">
      <c r="B70" s="2" t="s">
        <v>4384</v>
      </c>
    </row>
    <row r="71" spans="1:8" x14ac:dyDescent="0.2">
      <c r="B71" s="2" t="s">
        <v>4385</v>
      </c>
    </row>
    <row r="72" spans="1:8" x14ac:dyDescent="0.2">
      <c r="B72" s="2" t="s">
        <v>4386</v>
      </c>
    </row>
    <row r="74" spans="1:8" x14ac:dyDescent="0.2">
      <c r="A74" s="2" t="s">
        <v>4388</v>
      </c>
    </row>
    <row r="75" spans="1:8" ht="17" thickBot="1" x14ac:dyDescent="0.25">
      <c r="A75" s="1" t="s">
        <v>4389</v>
      </c>
    </row>
    <row r="76" spans="1:8" ht="17" thickBot="1" x14ac:dyDescent="0.25">
      <c r="A76" s="1" t="s">
        <v>4394</v>
      </c>
      <c r="H76" s="22" t="s">
        <v>4392</v>
      </c>
    </row>
    <row r="77" spans="1:8" ht="17" thickBot="1" x14ac:dyDescent="0.25">
      <c r="A77" s="1" t="s">
        <v>4395</v>
      </c>
      <c r="F77" s="683" t="s">
        <v>4390</v>
      </c>
      <c r="G77" s="6" t="s">
        <v>4393</v>
      </c>
      <c r="H77" s="22" t="s">
        <v>4392</v>
      </c>
    </row>
    <row r="78" spans="1:8" ht="17" thickBot="1" x14ac:dyDescent="0.25">
      <c r="A78" s="1" t="s">
        <v>4396</v>
      </c>
      <c r="F78" s="684" t="s">
        <v>4391</v>
      </c>
      <c r="H78" s="22" t="s">
        <v>4392</v>
      </c>
    </row>
    <row r="79" spans="1:8" x14ac:dyDescent="0.2">
      <c r="A79" s="1" t="s">
        <v>4397</v>
      </c>
    </row>
    <row r="81" spans="1:8" x14ac:dyDescent="0.2">
      <c r="A81" s="2" t="s">
        <v>4399</v>
      </c>
    </row>
    <row r="82" spans="1:8" x14ac:dyDescent="0.2">
      <c r="A82" s="1" t="s">
        <v>4400</v>
      </c>
    </row>
    <row r="83" spans="1:8" x14ac:dyDescent="0.2">
      <c r="A83" s="1" t="s">
        <v>4401</v>
      </c>
    </row>
    <row r="84" spans="1:8" x14ac:dyDescent="0.2">
      <c r="A84" s="1" t="s">
        <v>4402</v>
      </c>
    </row>
    <row r="86" spans="1:8" x14ac:dyDescent="0.2">
      <c r="A86" s="1" t="s">
        <v>4403</v>
      </c>
      <c r="F86" s="41">
        <v>220000</v>
      </c>
      <c r="H86" s="1" t="s">
        <v>4404</v>
      </c>
    </row>
    <row r="87" spans="1:8" x14ac:dyDescent="0.2">
      <c r="A87" s="1" t="s">
        <v>4405</v>
      </c>
      <c r="F87" s="41">
        <v>22000</v>
      </c>
      <c r="H87" s="1" t="s">
        <v>4406</v>
      </c>
    </row>
    <row r="89" spans="1:8" x14ac:dyDescent="0.2">
      <c r="A89" s="1" t="s">
        <v>4407</v>
      </c>
    </row>
    <row r="91" spans="1:8" x14ac:dyDescent="0.2">
      <c r="A91" s="2" t="s">
        <v>4411</v>
      </c>
    </row>
    <row r="92" spans="1:8" x14ac:dyDescent="0.2">
      <c r="A92" s="1" t="s">
        <v>4412</v>
      </c>
    </row>
    <row r="93" spans="1:8" x14ac:dyDescent="0.2">
      <c r="A93" s="1" t="s">
        <v>4413</v>
      </c>
    </row>
    <row r="95" spans="1:8" x14ac:dyDescent="0.2">
      <c r="A95" s="2" t="s">
        <v>4414</v>
      </c>
    </row>
    <row r="96" spans="1:8" x14ac:dyDescent="0.2">
      <c r="A96" s="1" t="s">
        <v>4415</v>
      </c>
    </row>
    <row r="97" spans="1:8" x14ac:dyDescent="0.2">
      <c r="A97" s="1" t="s">
        <v>4416</v>
      </c>
    </row>
    <row r="98" spans="1:8" x14ac:dyDescent="0.2">
      <c r="A98" s="1" t="s">
        <v>4417</v>
      </c>
    </row>
    <row r="99" spans="1:8" x14ac:dyDescent="0.2">
      <c r="A99" s="1" t="s">
        <v>4418</v>
      </c>
    </row>
    <row r="102" spans="1:8" x14ac:dyDescent="0.2">
      <c r="A102" s="538" t="s">
        <v>4444</v>
      </c>
      <c r="B102" s="538"/>
      <c r="C102" s="687"/>
      <c r="D102" s="687"/>
      <c r="E102" s="687"/>
      <c r="F102" s="687"/>
      <c r="G102" s="687"/>
      <c r="H102" s="538"/>
    </row>
    <row r="120" spans="1:6" x14ac:dyDescent="0.2">
      <c r="A120" s="693" t="s">
        <v>386</v>
      </c>
      <c r="B120" s="693" t="s">
        <v>4419</v>
      </c>
      <c r="C120" s="693" t="s">
        <v>4420</v>
      </c>
      <c r="D120" s="693" t="s">
        <v>3517</v>
      </c>
      <c r="E120" s="693" t="s">
        <v>1164</v>
      </c>
      <c r="F120" s="693" t="s">
        <v>272</v>
      </c>
    </row>
    <row r="121" spans="1:6" x14ac:dyDescent="0.2">
      <c r="A121" s="680" t="s">
        <v>4435</v>
      </c>
      <c r="B121" s="685">
        <f>80000*4</f>
        <v>320000</v>
      </c>
      <c r="C121" s="685"/>
      <c r="D121" s="692">
        <f>F121-B121</f>
        <v>245000</v>
      </c>
      <c r="E121" s="685"/>
      <c r="F121" s="692">
        <f>600000-35000</f>
        <v>565000</v>
      </c>
    </row>
    <row r="122" spans="1:6" x14ac:dyDescent="0.2">
      <c r="A122" s="680" t="s">
        <v>4436</v>
      </c>
      <c r="B122" s="692"/>
      <c r="C122" s="692">
        <f>90000*2</f>
        <v>180000</v>
      </c>
      <c r="D122" s="685">
        <f>F122-C122</f>
        <v>14000</v>
      </c>
      <c r="E122" s="685"/>
      <c r="F122" s="685">
        <f>195000-1000</f>
        <v>194000</v>
      </c>
    </row>
    <row r="123" spans="1:6" x14ac:dyDescent="0.2">
      <c r="A123" s="680" t="s">
        <v>4387</v>
      </c>
      <c r="B123" s="692">
        <f>-B121</f>
        <v>-320000</v>
      </c>
      <c r="C123" s="692">
        <f>-B123</f>
        <v>320000</v>
      </c>
      <c r="D123" s="685"/>
      <c r="E123" s="685"/>
      <c r="F123" s="685">
        <v>0</v>
      </c>
    </row>
    <row r="124" spans="1:6" x14ac:dyDescent="0.2">
      <c r="A124" s="680" t="s">
        <v>4426</v>
      </c>
      <c r="B124" s="692"/>
      <c r="C124" s="692">
        <f>25%*(C122+C123)</f>
        <v>125000</v>
      </c>
      <c r="D124" s="692">
        <f>F124-C124</f>
        <v>-125000</v>
      </c>
      <c r="E124" s="685"/>
      <c r="F124" s="685">
        <v>0</v>
      </c>
    </row>
    <row r="125" spans="1:6" x14ac:dyDescent="0.2">
      <c r="A125" s="680" t="s">
        <v>1506</v>
      </c>
      <c r="B125" s="685"/>
      <c r="C125" s="685"/>
      <c r="D125" s="685"/>
      <c r="E125" s="692">
        <v>600000</v>
      </c>
      <c r="F125" s="692">
        <f>E125</f>
        <v>600000</v>
      </c>
    </row>
    <row r="126" spans="1:6" x14ac:dyDescent="0.2">
      <c r="A126" s="680" t="s">
        <v>4409</v>
      </c>
      <c r="B126" s="685"/>
      <c r="C126" s="685"/>
      <c r="D126" s="685"/>
      <c r="E126" s="692">
        <v>-150000</v>
      </c>
      <c r="F126" s="685">
        <f>E126</f>
        <v>-150000</v>
      </c>
    </row>
    <row r="127" spans="1:6" x14ac:dyDescent="0.2">
      <c r="A127" s="693" t="s">
        <v>4437</v>
      </c>
      <c r="B127" s="694">
        <f>SUM(B121:B126)</f>
        <v>0</v>
      </c>
      <c r="C127" s="694">
        <f t="shared" ref="C127:F127" si="1">SUM(C121:C126)</f>
        <v>625000</v>
      </c>
      <c r="D127" s="694">
        <f t="shared" si="1"/>
        <v>134000</v>
      </c>
      <c r="E127" s="694">
        <f t="shared" si="1"/>
        <v>450000</v>
      </c>
      <c r="F127" s="694">
        <f t="shared" si="1"/>
        <v>1209000</v>
      </c>
    </row>
    <row r="129" spans="1:7" x14ac:dyDescent="0.2">
      <c r="A129" s="680" t="s">
        <v>386</v>
      </c>
      <c r="B129" s="680" t="s">
        <v>4419</v>
      </c>
      <c r="C129" s="680" t="s">
        <v>4420</v>
      </c>
      <c r="D129" s="680" t="s">
        <v>3517</v>
      </c>
      <c r="E129" s="680" t="s">
        <v>1164</v>
      </c>
      <c r="F129" s="680" t="s">
        <v>272</v>
      </c>
    </row>
    <row r="130" spans="1:7" ht="53" x14ac:dyDescent="0.2">
      <c r="A130" s="688" t="s">
        <v>4421</v>
      </c>
      <c r="B130" s="688" t="s">
        <v>4422</v>
      </c>
      <c r="C130" s="688" t="s">
        <v>4422</v>
      </c>
      <c r="D130" s="689" t="s">
        <v>4423</v>
      </c>
      <c r="E130" s="688"/>
      <c r="F130" s="689" t="s">
        <v>4434</v>
      </c>
    </row>
    <row r="131" spans="1:7" ht="66" x14ac:dyDescent="0.2">
      <c r="A131" s="688" t="s">
        <v>4387</v>
      </c>
      <c r="B131" s="689" t="s">
        <v>4424</v>
      </c>
      <c r="C131" s="689" t="s">
        <v>4425</v>
      </c>
      <c r="D131" s="688"/>
      <c r="E131" s="688"/>
      <c r="F131" s="688">
        <v>0</v>
      </c>
    </row>
    <row r="132" spans="1:7" ht="79" x14ac:dyDescent="0.2">
      <c r="A132" s="688" t="s">
        <v>4426</v>
      </c>
      <c r="B132" s="689" t="s">
        <v>4427</v>
      </c>
      <c r="C132" s="689" t="s">
        <v>4427</v>
      </c>
      <c r="D132" s="689" t="s">
        <v>4428</v>
      </c>
      <c r="E132" s="688"/>
      <c r="F132" s="688">
        <v>0</v>
      </c>
    </row>
    <row r="133" spans="1:7" ht="27" x14ac:dyDescent="0.2">
      <c r="A133" s="688" t="s">
        <v>4429</v>
      </c>
      <c r="B133" s="688"/>
      <c r="C133" s="688"/>
      <c r="D133" s="688"/>
      <c r="E133" s="689" t="s">
        <v>4430</v>
      </c>
      <c r="F133" s="689" t="s">
        <v>4430</v>
      </c>
    </row>
    <row r="134" spans="1:7" ht="27" x14ac:dyDescent="0.2">
      <c r="A134" s="688" t="s">
        <v>4431</v>
      </c>
      <c r="B134" s="688"/>
      <c r="C134" s="688"/>
      <c r="D134" s="688"/>
      <c r="E134" s="689" t="s">
        <v>4432</v>
      </c>
      <c r="F134" s="688" t="s">
        <v>70</v>
      </c>
    </row>
    <row r="135" spans="1:7" x14ac:dyDescent="0.2">
      <c r="A135" s="680" t="s">
        <v>4433</v>
      </c>
      <c r="B135" s="690"/>
      <c r="C135" s="691"/>
      <c r="D135" s="691"/>
      <c r="E135" s="691"/>
      <c r="F135" s="691"/>
    </row>
    <row r="137" spans="1:7" x14ac:dyDescent="0.2">
      <c r="A137" s="699" t="s">
        <v>4445</v>
      </c>
      <c r="B137" s="699"/>
      <c r="C137" s="700"/>
      <c r="D137" s="700"/>
      <c r="E137" s="700"/>
      <c r="F137" s="700"/>
    </row>
    <row r="138" spans="1:7" x14ac:dyDescent="0.2">
      <c r="A138" s="1" t="s">
        <v>4446</v>
      </c>
    </row>
    <row r="139" spans="1:7" x14ac:dyDescent="0.2">
      <c r="A139" s="1" t="s">
        <v>4447</v>
      </c>
    </row>
    <row r="140" spans="1:7" ht="17" thickBot="1" x14ac:dyDescent="0.25"/>
    <row r="141" spans="1:7" x14ac:dyDescent="0.2">
      <c r="A141" s="701">
        <v>44927</v>
      </c>
      <c r="B141" s="100" t="s">
        <v>4448</v>
      </c>
      <c r="C141" s="179"/>
      <c r="D141" s="179"/>
      <c r="E141" s="179"/>
      <c r="F141" s="149"/>
    </row>
    <row r="142" spans="1:7" x14ac:dyDescent="0.2">
      <c r="A142" s="106"/>
      <c r="B142" s="1" t="s">
        <v>4449</v>
      </c>
      <c r="F142" s="62"/>
      <c r="G142" s="87" t="s">
        <v>4461</v>
      </c>
    </row>
    <row r="143" spans="1:7" x14ac:dyDescent="0.2">
      <c r="A143" s="702">
        <v>44986</v>
      </c>
      <c r="B143" s="1" t="s">
        <v>4450</v>
      </c>
      <c r="F143" s="62"/>
    </row>
    <row r="144" spans="1:7" ht="17" thickBot="1" x14ac:dyDescent="0.25">
      <c r="A144" s="20"/>
      <c r="B144" s="103" t="s">
        <v>4451</v>
      </c>
      <c r="C144" s="158"/>
      <c r="D144" s="158"/>
      <c r="E144" s="158"/>
      <c r="F144" s="413"/>
    </row>
    <row r="145" spans="1:8" x14ac:dyDescent="0.2">
      <c r="A145" s="701">
        <v>45017</v>
      </c>
      <c r="B145" s="100" t="s">
        <v>4452</v>
      </c>
      <c r="C145" s="179"/>
      <c r="D145" s="179"/>
      <c r="E145" s="179"/>
      <c r="F145" s="149"/>
      <c r="G145" s="6" t="s">
        <v>4462</v>
      </c>
    </row>
    <row r="146" spans="1:8" ht="17" thickBot="1" x14ac:dyDescent="0.25">
      <c r="A146" s="20"/>
      <c r="B146" s="103" t="s">
        <v>4453</v>
      </c>
      <c r="C146" s="158"/>
      <c r="D146" s="158"/>
      <c r="E146" s="158"/>
      <c r="F146" s="413"/>
    </row>
    <row r="147" spans="1:8" ht="17" thickBot="1" x14ac:dyDescent="0.25">
      <c r="A147" s="703">
        <v>45047</v>
      </c>
      <c r="B147" s="121" t="s">
        <v>4454</v>
      </c>
      <c r="C147" s="171"/>
      <c r="D147" s="171"/>
      <c r="E147" s="171"/>
      <c r="F147" s="619"/>
      <c r="G147" s="6" t="s">
        <v>4463</v>
      </c>
    </row>
    <row r="148" spans="1:8" ht="17" thickBot="1" x14ac:dyDescent="0.25">
      <c r="A148" s="703">
        <v>45291</v>
      </c>
      <c r="B148" s="121" t="s">
        <v>4455</v>
      </c>
      <c r="C148" s="171"/>
      <c r="D148" s="171"/>
      <c r="E148" s="171"/>
      <c r="F148" s="619"/>
      <c r="G148" s="6" t="s">
        <v>4464</v>
      </c>
    </row>
    <row r="149" spans="1:8" x14ac:dyDescent="0.2">
      <c r="A149" s="701">
        <v>45291</v>
      </c>
      <c r="B149" s="100" t="s">
        <v>4456</v>
      </c>
      <c r="C149" s="179"/>
      <c r="D149" s="179"/>
      <c r="E149" s="179"/>
      <c r="F149" s="149"/>
    </row>
    <row r="150" spans="1:8" ht="17" thickBot="1" x14ac:dyDescent="0.25">
      <c r="A150" s="20"/>
      <c r="B150" s="103" t="s">
        <v>4465</v>
      </c>
      <c r="C150" s="158"/>
      <c r="D150" s="158"/>
      <c r="E150" s="158"/>
      <c r="F150" s="413"/>
      <c r="G150" s="6" t="s">
        <v>4466</v>
      </c>
    </row>
    <row r="151" spans="1:8" x14ac:dyDescent="0.2">
      <c r="A151" s="106"/>
      <c r="F151" s="62"/>
    </row>
    <row r="152" spans="1:8" ht="17" thickBot="1" x14ac:dyDescent="0.25">
      <c r="A152" s="20" t="s">
        <v>4457</v>
      </c>
      <c r="B152" s="103"/>
      <c r="C152" s="158"/>
      <c r="D152" s="158"/>
      <c r="E152" s="158"/>
      <c r="F152" s="413"/>
    </row>
    <row r="154" spans="1:8" x14ac:dyDescent="0.2">
      <c r="A154" s="1" t="s">
        <v>4458</v>
      </c>
    </row>
    <row r="155" spans="1:8" x14ac:dyDescent="0.2">
      <c r="A155" s="1" t="s">
        <v>4459</v>
      </c>
    </row>
    <row r="156" spans="1:8" x14ac:dyDescent="0.2">
      <c r="A156" s="1" t="s">
        <v>4460</v>
      </c>
    </row>
    <row r="158" spans="1:8" ht="34" x14ac:dyDescent="0.2">
      <c r="A158" s="25" t="s">
        <v>621</v>
      </c>
      <c r="B158" s="25" t="s">
        <v>625</v>
      </c>
      <c r="C158" s="36"/>
      <c r="D158" s="185" t="s">
        <v>4467</v>
      </c>
      <c r="E158" s="185" t="s">
        <v>4485</v>
      </c>
      <c r="F158" s="185" t="s">
        <v>3517</v>
      </c>
      <c r="G158" s="185" t="s">
        <v>4510</v>
      </c>
      <c r="H158" s="36" t="s">
        <v>272</v>
      </c>
    </row>
    <row r="159" spans="1:8" x14ac:dyDescent="0.2">
      <c r="A159" s="120">
        <v>44927</v>
      </c>
      <c r="B159" s="28" t="s">
        <v>4436</v>
      </c>
      <c r="D159" s="44">
        <f>100000*2</f>
        <v>200000</v>
      </c>
      <c r="E159" s="44"/>
      <c r="F159" s="44">
        <f>H159-D159</f>
        <v>125000</v>
      </c>
      <c r="G159" s="44"/>
      <c r="H159" s="44">
        <f>340000-15000</f>
        <v>325000</v>
      </c>
    </row>
    <row r="160" spans="1:8" x14ac:dyDescent="0.2">
      <c r="A160" s="120">
        <v>44986</v>
      </c>
      <c r="B160" s="28" t="s">
        <v>4380</v>
      </c>
      <c r="E160" s="44">
        <f>85000*1</f>
        <v>85000</v>
      </c>
      <c r="F160" s="44">
        <f>H160-E160</f>
        <v>35000</v>
      </c>
      <c r="H160" s="44">
        <f>127000-7000</f>
        <v>120000</v>
      </c>
    </row>
    <row r="161" spans="1:12" x14ac:dyDescent="0.2">
      <c r="A161" s="120">
        <v>45017</v>
      </c>
      <c r="B161" s="1" t="s">
        <v>4387</v>
      </c>
      <c r="D161" s="44">
        <f>-D159</f>
        <v>-200000</v>
      </c>
      <c r="E161" s="44">
        <f>-D161</f>
        <v>200000</v>
      </c>
      <c r="H161" s="6">
        <v>0</v>
      </c>
    </row>
    <row r="162" spans="1:12" x14ac:dyDescent="0.2">
      <c r="A162" s="120">
        <v>45047</v>
      </c>
      <c r="B162" s="1" t="s">
        <v>4398</v>
      </c>
      <c r="E162" s="44">
        <f>20%*(E160+E161)</f>
        <v>57000</v>
      </c>
      <c r="F162" s="44">
        <f>H162-E162</f>
        <v>-57000</v>
      </c>
      <c r="H162" s="6">
        <v>0</v>
      </c>
    </row>
    <row r="163" spans="1:12" x14ac:dyDescent="0.2">
      <c r="A163" s="120">
        <v>45291</v>
      </c>
      <c r="B163" s="1" t="s">
        <v>1506</v>
      </c>
      <c r="G163" s="41">
        <v>500000</v>
      </c>
      <c r="H163" s="41">
        <f>G163</f>
        <v>500000</v>
      </c>
    </row>
    <row r="164" spans="1:12" x14ac:dyDescent="0.2">
      <c r="A164" s="120">
        <v>45291</v>
      </c>
      <c r="B164" s="1" t="s">
        <v>4509</v>
      </c>
      <c r="G164" s="44">
        <v>-180000</v>
      </c>
      <c r="H164" s="44">
        <f>G164</f>
        <v>-180000</v>
      </c>
    </row>
    <row r="165" spans="1:12" x14ac:dyDescent="0.2">
      <c r="A165" s="249">
        <v>45291</v>
      </c>
      <c r="B165" s="3" t="s">
        <v>4511</v>
      </c>
      <c r="C165" s="157"/>
      <c r="D165" s="408">
        <f>SUM(D159:D164)</f>
        <v>0</v>
      </c>
      <c r="E165" s="408">
        <f>SUM(E159:E164)</f>
        <v>342000</v>
      </c>
      <c r="F165" s="408">
        <f>SUM(F159:F164)</f>
        <v>103000</v>
      </c>
      <c r="G165" s="408">
        <f>SUM(G159:G164)</f>
        <v>320000</v>
      </c>
      <c r="H165" s="408">
        <f>SUM(H159:H164)</f>
        <v>765000</v>
      </c>
    </row>
    <row r="167" spans="1:12" x14ac:dyDescent="0.2">
      <c r="A167" s="1" t="s">
        <v>343</v>
      </c>
    </row>
    <row r="168" spans="1:12" x14ac:dyDescent="0.2">
      <c r="A168" s="2" t="s">
        <v>4480</v>
      </c>
    </row>
    <row r="169" spans="1:12" x14ac:dyDescent="0.2">
      <c r="B169" s="2" t="s">
        <v>4468</v>
      </c>
    </row>
    <row r="170" spans="1:12" x14ac:dyDescent="0.2">
      <c r="B170" s="1" t="s">
        <v>4469</v>
      </c>
    </row>
    <row r="171" spans="1:12" x14ac:dyDescent="0.2">
      <c r="B171" s="1" t="s">
        <v>4470</v>
      </c>
      <c r="H171" s="2" t="s">
        <v>4486</v>
      </c>
      <c r="I171" s="6"/>
      <c r="J171" s="6"/>
      <c r="K171" s="6"/>
      <c r="L171" s="6"/>
    </row>
    <row r="172" spans="1:12" x14ac:dyDescent="0.2">
      <c r="D172" s="1" t="s">
        <v>4471</v>
      </c>
      <c r="F172" s="44">
        <v>340000</v>
      </c>
      <c r="I172" s="6"/>
      <c r="J172" s="1" t="s">
        <v>4471</v>
      </c>
      <c r="K172" s="6"/>
      <c r="L172" s="44">
        <v>127000</v>
      </c>
    </row>
    <row r="173" spans="1:12" ht="17" thickBot="1" x14ac:dyDescent="0.25">
      <c r="D173" s="1" t="s">
        <v>4472</v>
      </c>
      <c r="F173" s="44">
        <v>-15000</v>
      </c>
      <c r="I173" s="6"/>
      <c r="J173" s="1" t="s">
        <v>4472</v>
      </c>
      <c r="K173" s="6"/>
      <c r="L173" s="44">
        <v>-7000</v>
      </c>
    </row>
    <row r="174" spans="1:12" ht="17" thickBot="1" x14ac:dyDescent="0.25">
      <c r="D174" s="1" t="s">
        <v>4473</v>
      </c>
      <c r="F174" s="140">
        <f>F172+F173</f>
        <v>325000</v>
      </c>
      <c r="I174" s="6"/>
      <c r="J174" s="1" t="s">
        <v>4473</v>
      </c>
      <c r="K174" s="6"/>
      <c r="L174" s="140">
        <f>L172+L173</f>
        <v>120000</v>
      </c>
    </row>
    <row r="175" spans="1:12" x14ac:dyDescent="0.2">
      <c r="I175" s="6"/>
      <c r="J175" s="6"/>
      <c r="K175" s="6"/>
      <c r="L175" s="6"/>
    </row>
    <row r="176" spans="1:12" x14ac:dyDescent="0.2">
      <c r="B176" s="2" t="s">
        <v>4474</v>
      </c>
      <c r="H176" s="2" t="s">
        <v>4474</v>
      </c>
      <c r="I176" s="6"/>
      <c r="J176" s="6"/>
      <c r="K176" s="6"/>
      <c r="L176" s="6"/>
    </row>
    <row r="177" spans="1:12" x14ac:dyDescent="0.2">
      <c r="B177" s="1" t="s">
        <v>4475</v>
      </c>
      <c r="H177" s="1" t="s">
        <v>4475</v>
      </c>
      <c r="I177" s="6"/>
      <c r="J177" s="6"/>
      <c r="K177" s="6"/>
      <c r="L177" s="6"/>
    </row>
    <row r="178" spans="1:12" x14ac:dyDescent="0.2">
      <c r="B178" s="2" t="s">
        <v>4476</v>
      </c>
      <c r="H178" s="2" t="s">
        <v>4487</v>
      </c>
      <c r="I178" s="6"/>
      <c r="J178" s="6"/>
      <c r="K178" s="6"/>
      <c r="L178" s="6"/>
    </row>
    <row r="179" spans="1:12" x14ac:dyDescent="0.2">
      <c r="B179" s="2"/>
      <c r="D179" s="87" t="s">
        <v>4477</v>
      </c>
      <c r="F179" s="44">
        <v>100000</v>
      </c>
      <c r="H179" s="2"/>
      <c r="I179" s="6"/>
      <c r="J179" s="87" t="s">
        <v>4477</v>
      </c>
      <c r="K179" s="6"/>
      <c r="L179" s="44">
        <v>85000</v>
      </c>
    </row>
    <row r="180" spans="1:12" ht="17" thickBot="1" x14ac:dyDescent="0.25">
      <c r="B180" s="2"/>
      <c r="D180" s="87" t="s">
        <v>4478</v>
      </c>
      <c r="F180" s="44">
        <v>2</v>
      </c>
      <c r="H180" s="2"/>
      <c r="I180" s="6"/>
      <c r="J180" s="87" t="s">
        <v>4478</v>
      </c>
      <c r="K180" s="6"/>
      <c r="L180" s="44">
        <v>1</v>
      </c>
    </row>
    <row r="181" spans="1:12" ht="17" thickBot="1" x14ac:dyDescent="0.25">
      <c r="B181" s="2"/>
      <c r="D181" s="87" t="s">
        <v>4479</v>
      </c>
      <c r="F181" s="140">
        <f>F179*F180</f>
        <v>200000</v>
      </c>
      <c r="H181" s="2"/>
      <c r="I181" s="6"/>
      <c r="J181" s="87" t="s">
        <v>4479</v>
      </c>
      <c r="K181" s="6"/>
      <c r="L181" s="140">
        <f>L179*L180</f>
        <v>85000</v>
      </c>
    </row>
    <row r="182" spans="1:12" x14ac:dyDescent="0.2">
      <c r="B182" s="2"/>
      <c r="H182" s="2"/>
      <c r="I182" s="6"/>
      <c r="J182" s="6"/>
      <c r="K182" s="6"/>
      <c r="L182" s="6"/>
    </row>
    <row r="183" spans="1:12" x14ac:dyDescent="0.2">
      <c r="B183" s="2" t="s">
        <v>4481</v>
      </c>
      <c r="H183" s="2" t="s">
        <v>4481</v>
      </c>
      <c r="I183" s="6"/>
      <c r="J183" s="6"/>
      <c r="K183" s="6"/>
      <c r="L183" s="6"/>
    </row>
    <row r="184" spans="1:12" x14ac:dyDescent="0.2">
      <c r="B184" s="1" t="s">
        <v>4482</v>
      </c>
      <c r="H184" s="1" t="s">
        <v>4488</v>
      </c>
      <c r="I184" s="6"/>
      <c r="J184" s="6"/>
      <c r="K184" s="6"/>
      <c r="L184" s="6"/>
    </row>
    <row r="185" spans="1:12" x14ac:dyDescent="0.2">
      <c r="B185" s="2"/>
      <c r="D185" s="87" t="s">
        <v>4483</v>
      </c>
      <c r="F185" s="44">
        <f>F174</f>
        <v>325000</v>
      </c>
      <c r="H185" s="2"/>
      <c r="I185" s="6"/>
      <c r="J185" s="87" t="s">
        <v>4483</v>
      </c>
      <c r="K185" s="6"/>
      <c r="L185" s="44">
        <f>L174</f>
        <v>120000</v>
      </c>
    </row>
    <row r="186" spans="1:12" ht="17" thickBot="1" x14ac:dyDescent="0.25">
      <c r="B186" s="2"/>
      <c r="D186" s="87" t="s">
        <v>4484</v>
      </c>
      <c r="F186" s="44">
        <f>-F181</f>
        <v>-200000</v>
      </c>
      <c r="H186" s="2"/>
      <c r="I186" s="6"/>
      <c r="J186" s="87" t="s">
        <v>4484</v>
      </c>
      <c r="K186" s="6"/>
      <c r="L186" s="44">
        <f>-L181</f>
        <v>-85000</v>
      </c>
    </row>
    <row r="187" spans="1:12" ht="17" thickBot="1" x14ac:dyDescent="0.25">
      <c r="B187" s="2"/>
      <c r="D187" s="87" t="s">
        <v>3517</v>
      </c>
      <c r="F187" s="140">
        <f>F185+F186</f>
        <v>125000</v>
      </c>
      <c r="H187" s="2"/>
      <c r="I187" s="6"/>
      <c r="J187" s="87" t="s">
        <v>3517</v>
      </c>
      <c r="K187" s="6"/>
      <c r="L187" s="140">
        <f>L185+L186</f>
        <v>35000</v>
      </c>
    </row>
    <row r="188" spans="1:12" x14ac:dyDescent="0.2">
      <c r="B188" s="2"/>
    </row>
    <row r="189" spans="1:12" x14ac:dyDescent="0.2">
      <c r="A189" s="2" t="s">
        <v>4489</v>
      </c>
      <c r="B189" s="2"/>
    </row>
    <row r="190" spans="1:12" x14ac:dyDescent="0.2">
      <c r="B190" s="2" t="s">
        <v>4490</v>
      </c>
    </row>
    <row r="191" spans="1:12" x14ac:dyDescent="0.2">
      <c r="B191" s="1" t="s">
        <v>4491</v>
      </c>
    </row>
    <row r="192" spans="1:12" x14ac:dyDescent="0.2">
      <c r="B192" s="1" t="s">
        <v>4492</v>
      </c>
    </row>
    <row r="193" spans="1:2" x14ac:dyDescent="0.2">
      <c r="B193" s="2"/>
    </row>
    <row r="194" spans="1:2" x14ac:dyDescent="0.2">
      <c r="B194" s="2" t="s">
        <v>4493</v>
      </c>
    </row>
    <row r="195" spans="1:2" x14ac:dyDescent="0.2">
      <c r="B195" s="1" t="s">
        <v>4494</v>
      </c>
    </row>
    <row r="196" spans="1:2" x14ac:dyDescent="0.2">
      <c r="B196" s="1" t="s">
        <v>4495</v>
      </c>
    </row>
    <row r="197" spans="1:2" x14ac:dyDescent="0.2">
      <c r="B197" s="1" t="s">
        <v>4496</v>
      </c>
    </row>
    <row r="198" spans="1:2" x14ac:dyDescent="0.2">
      <c r="B198" s="2"/>
    </row>
    <row r="199" spans="1:2" x14ac:dyDescent="0.2">
      <c r="B199" s="2" t="s">
        <v>4497</v>
      </c>
    </row>
    <row r="200" spans="1:2" x14ac:dyDescent="0.2">
      <c r="B200" s="2" t="s">
        <v>4498</v>
      </c>
    </row>
    <row r="201" spans="1:2" x14ac:dyDescent="0.2">
      <c r="B201" s="2"/>
    </row>
    <row r="202" spans="1:2" x14ac:dyDescent="0.2">
      <c r="A202" s="2" t="s">
        <v>4399</v>
      </c>
      <c r="B202" s="2"/>
    </row>
    <row r="203" spans="1:2" x14ac:dyDescent="0.2">
      <c r="B203" s="2" t="s">
        <v>4499</v>
      </c>
    </row>
    <row r="204" spans="1:2" x14ac:dyDescent="0.2">
      <c r="B204" s="1" t="s">
        <v>4500</v>
      </c>
    </row>
    <row r="205" spans="1:2" x14ac:dyDescent="0.2">
      <c r="B205" s="2"/>
    </row>
    <row r="206" spans="1:2" x14ac:dyDescent="0.2">
      <c r="B206" s="2" t="s">
        <v>4501</v>
      </c>
    </row>
    <row r="207" spans="1:2" x14ac:dyDescent="0.2">
      <c r="B207" s="1" t="s">
        <v>4502</v>
      </c>
    </row>
    <row r="209" spans="1:8" x14ac:dyDescent="0.2">
      <c r="D209" s="87" t="s">
        <v>4503</v>
      </c>
      <c r="F209" s="44">
        <v>285000</v>
      </c>
    </row>
    <row r="210" spans="1:8" ht="17" thickBot="1" x14ac:dyDescent="0.25">
      <c r="D210" s="87" t="s">
        <v>4504</v>
      </c>
      <c r="F210" s="704">
        <v>0.2</v>
      </c>
    </row>
    <row r="211" spans="1:8" ht="17" thickBot="1" x14ac:dyDescent="0.25">
      <c r="D211" s="189" t="s">
        <v>4505</v>
      </c>
      <c r="F211" s="705">
        <f>F209*F210</f>
        <v>57000</v>
      </c>
      <c r="H211" s="1" t="s">
        <v>4506</v>
      </c>
    </row>
    <row r="213" spans="1:8" x14ac:dyDescent="0.2">
      <c r="B213" s="2" t="s">
        <v>4497</v>
      </c>
    </row>
    <row r="214" spans="1:8" ht="17" thickBot="1" x14ac:dyDescent="0.25">
      <c r="B214" s="1" t="s">
        <v>4507</v>
      </c>
    </row>
    <row r="215" spans="1:8" ht="17" thickBot="1" x14ac:dyDescent="0.25">
      <c r="D215" s="150" t="s">
        <v>272</v>
      </c>
      <c r="F215" s="706">
        <v>0</v>
      </c>
    </row>
    <row r="216" spans="1:8" ht="17" thickBot="1" x14ac:dyDescent="0.25"/>
    <row r="217" spans="1:8" ht="17" thickBot="1" x14ac:dyDescent="0.25">
      <c r="B217" s="2" t="s">
        <v>4508</v>
      </c>
      <c r="F217" s="705">
        <f>-F211</f>
        <v>-57000</v>
      </c>
    </row>
    <row r="219" spans="1:8" x14ac:dyDescent="0.2">
      <c r="A219" s="2" t="s">
        <v>4411</v>
      </c>
    </row>
    <row r="220" spans="1:8" x14ac:dyDescent="0.2">
      <c r="B220" s="1" t="s">
        <v>4512</v>
      </c>
    </row>
    <row r="221" spans="1:8" x14ac:dyDescent="0.2">
      <c r="B221" s="1" t="s">
        <v>4513</v>
      </c>
    </row>
    <row r="223" spans="1:8" x14ac:dyDescent="0.2">
      <c r="A223" s="2" t="s">
        <v>4515</v>
      </c>
    </row>
    <row r="224" spans="1:8" x14ac:dyDescent="0.2">
      <c r="B224" s="1" t="s">
        <v>4514</v>
      </c>
    </row>
    <row r="226" spans="1:8" x14ac:dyDescent="0.2">
      <c r="A226" s="16" t="s">
        <v>4516</v>
      </c>
      <c r="B226" s="16"/>
      <c r="C226" s="165"/>
      <c r="D226" s="165"/>
      <c r="E226" s="165"/>
      <c r="F226" s="165"/>
      <c r="G226" s="165"/>
      <c r="H226" s="16"/>
    </row>
    <row r="228" spans="1:8" x14ac:dyDescent="0.2">
      <c r="A228" s="680" t="s">
        <v>386</v>
      </c>
      <c r="B228" s="680" t="s">
        <v>4419</v>
      </c>
      <c r="C228" s="680" t="s">
        <v>4420</v>
      </c>
      <c r="D228" s="680" t="s">
        <v>3517</v>
      </c>
      <c r="E228" s="680" t="s">
        <v>1164</v>
      </c>
      <c r="F228" s="680" t="s">
        <v>272</v>
      </c>
    </row>
    <row r="229" spans="1:8" ht="53" x14ac:dyDescent="0.2">
      <c r="A229" s="688" t="s">
        <v>4421</v>
      </c>
      <c r="B229" s="688" t="s">
        <v>4422</v>
      </c>
      <c r="C229" s="688" t="s">
        <v>4422</v>
      </c>
      <c r="D229" s="689" t="s">
        <v>4423</v>
      </c>
      <c r="E229" s="688"/>
      <c r="F229" s="689" t="s">
        <v>4434</v>
      </c>
    </row>
    <row r="230" spans="1:8" ht="66" x14ac:dyDescent="0.2">
      <c r="A230" s="688" t="s">
        <v>4387</v>
      </c>
      <c r="B230" s="689" t="s">
        <v>4424</v>
      </c>
      <c r="C230" s="689" t="s">
        <v>4425</v>
      </c>
      <c r="D230" s="688"/>
      <c r="E230" s="688"/>
      <c r="F230" s="688">
        <v>0</v>
      </c>
    </row>
    <row r="231" spans="1:8" ht="79" x14ac:dyDescent="0.2">
      <c r="A231" s="688" t="s">
        <v>4426</v>
      </c>
      <c r="B231" s="689" t="s">
        <v>4427</v>
      </c>
      <c r="C231" s="689" t="s">
        <v>4427</v>
      </c>
      <c r="D231" s="689" t="s">
        <v>4428</v>
      </c>
      <c r="E231" s="688"/>
      <c r="F231" s="688">
        <v>0</v>
      </c>
    </row>
    <row r="232" spans="1:8" ht="27" x14ac:dyDescent="0.2">
      <c r="A232" s="688" t="s">
        <v>4429</v>
      </c>
      <c r="B232" s="688"/>
      <c r="C232" s="688"/>
      <c r="D232" s="688"/>
      <c r="E232" s="689" t="s">
        <v>4430</v>
      </c>
      <c r="F232" s="689" t="s">
        <v>4430</v>
      </c>
    </row>
    <row r="233" spans="1:8" ht="27" x14ac:dyDescent="0.2">
      <c r="A233" s="688" t="s">
        <v>4431</v>
      </c>
      <c r="B233" s="688"/>
      <c r="C233" s="688"/>
      <c r="D233" s="688"/>
      <c r="E233" s="689" t="s">
        <v>4432</v>
      </c>
      <c r="F233" s="688" t="s">
        <v>70</v>
      </c>
    </row>
    <row r="234" spans="1:8" x14ac:dyDescent="0.2">
      <c r="A234" s="680" t="s">
        <v>4433</v>
      </c>
      <c r="B234" s="690"/>
      <c r="C234" s="691"/>
      <c r="D234" s="691"/>
      <c r="E234" s="691"/>
      <c r="F234" s="691"/>
    </row>
    <row r="237" spans="1:8" x14ac:dyDescent="0.2">
      <c r="A237" s="699" t="s">
        <v>4528</v>
      </c>
      <c r="B237" s="699"/>
      <c r="C237" s="700"/>
      <c r="D237" s="700"/>
      <c r="E237" s="700"/>
      <c r="F237" s="700"/>
    </row>
    <row r="239" spans="1:8" x14ac:dyDescent="0.2">
      <c r="A239" s="1" t="s">
        <v>4521</v>
      </c>
    </row>
    <row r="240" spans="1:8" ht="17" thickBot="1" x14ac:dyDescent="0.25"/>
    <row r="241" spans="1:8" x14ac:dyDescent="0.2">
      <c r="A241" s="701">
        <v>44927</v>
      </c>
      <c r="B241" s="100" t="s">
        <v>4517</v>
      </c>
      <c r="C241" s="179"/>
      <c r="D241" s="179"/>
      <c r="E241" s="179"/>
      <c r="F241" s="149"/>
    </row>
    <row r="242" spans="1:8" x14ac:dyDescent="0.2">
      <c r="A242" s="106"/>
      <c r="B242" s="1" t="s">
        <v>4518</v>
      </c>
      <c r="F242" s="62"/>
    </row>
    <row r="243" spans="1:8" x14ac:dyDescent="0.2">
      <c r="A243" s="702">
        <v>44986</v>
      </c>
      <c r="B243" s="1" t="s">
        <v>4519</v>
      </c>
      <c r="F243" s="62"/>
    </row>
    <row r="244" spans="1:8" ht="17" thickBot="1" x14ac:dyDescent="0.25">
      <c r="A244" s="20"/>
      <c r="B244" s="103" t="s">
        <v>4520</v>
      </c>
      <c r="C244" s="158"/>
      <c r="D244" s="158"/>
      <c r="E244" s="158"/>
      <c r="F244" s="413"/>
    </row>
    <row r="245" spans="1:8" x14ac:dyDescent="0.2">
      <c r="A245" s="701">
        <v>45017</v>
      </c>
      <c r="B245" s="100" t="s">
        <v>4522</v>
      </c>
      <c r="C245" s="179"/>
      <c r="D245" s="179"/>
      <c r="E245" s="179"/>
      <c r="F245" s="149"/>
    </row>
    <row r="246" spans="1:8" ht="17" thickBot="1" x14ac:dyDescent="0.25">
      <c r="A246" s="20"/>
      <c r="B246" s="103" t="s">
        <v>4523</v>
      </c>
      <c r="C246" s="158"/>
      <c r="D246" s="158"/>
      <c r="E246" s="158"/>
      <c r="F246" s="413"/>
    </row>
    <row r="247" spans="1:8" ht="17" thickBot="1" x14ac:dyDescent="0.25">
      <c r="A247" s="703">
        <v>45047</v>
      </c>
      <c r="B247" s="121" t="s">
        <v>4524</v>
      </c>
      <c r="C247" s="171"/>
      <c r="D247" s="171"/>
      <c r="E247" s="171"/>
      <c r="F247" s="619"/>
    </row>
    <row r="248" spans="1:8" ht="17" thickBot="1" x14ac:dyDescent="0.25">
      <c r="A248" s="703">
        <v>45291</v>
      </c>
      <c r="B248" s="121" t="s">
        <v>4525</v>
      </c>
      <c r="C248" s="171"/>
      <c r="D248" s="171"/>
      <c r="E248" s="171"/>
      <c r="F248" s="619"/>
    </row>
    <row r="249" spans="1:8" x14ac:dyDescent="0.2">
      <c r="A249" s="701">
        <v>45291</v>
      </c>
      <c r="B249" s="100" t="s">
        <v>4526</v>
      </c>
      <c r="C249" s="179"/>
      <c r="D249" s="179"/>
      <c r="E249" s="179"/>
      <c r="F249" s="149"/>
    </row>
    <row r="250" spans="1:8" ht="17" thickBot="1" x14ac:dyDescent="0.25">
      <c r="A250" s="20"/>
      <c r="B250" s="103" t="s">
        <v>4527</v>
      </c>
      <c r="C250" s="158"/>
      <c r="D250" s="158"/>
      <c r="E250" s="158"/>
      <c r="F250" s="413"/>
    </row>
    <row r="251" spans="1:8" x14ac:dyDescent="0.2">
      <c r="A251" s="106"/>
      <c r="F251" s="62"/>
    </row>
    <row r="252" spans="1:8" ht="17" thickBot="1" x14ac:dyDescent="0.25">
      <c r="A252" s="20" t="s">
        <v>4457</v>
      </c>
      <c r="B252" s="103"/>
      <c r="C252" s="158"/>
      <c r="D252" s="158"/>
      <c r="E252" s="158"/>
      <c r="F252" s="413"/>
    </row>
    <row r="253" spans="1:8" ht="17" thickBot="1" x14ac:dyDescent="0.25"/>
    <row r="254" spans="1:8" ht="17" thickBot="1" x14ac:dyDescent="0.25">
      <c r="A254" s="146" t="s">
        <v>621</v>
      </c>
      <c r="B254" s="121" t="s">
        <v>386</v>
      </c>
      <c r="C254" s="171"/>
      <c r="D254" s="171" t="s">
        <v>4419</v>
      </c>
      <c r="E254" s="171" t="s">
        <v>4420</v>
      </c>
      <c r="F254" s="171" t="s">
        <v>3517</v>
      </c>
      <c r="G254" s="171" t="s">
        <v>1164</v>
      </c>
      <c r="H254" s="619" t="s">
        <v>272</v>
      </c>
    </row>
    <row r="255" spans="1:8" x14ac:dyDescent="0.2">
      <c r="A255" s="702">
        <v>44927</v>
      </c>
      <c r="B255" s="1" t="s">
        <v>4529</v>
      </c>
      <c r="D255" s="44">
        <f>90000*4</f>
        <v>360000</v>
      </c>
      <c r="E255" s="44"/>
      <c r="F255" s="44">
        <f>H255-D255</f>
        <v>386000</v>
      </c>
      <c r="G255" s="44"/>
      <c r="H255" s="605">
        <f>770000-24000</f>
        <v>746000</v>
      </c>
    </row>
    <row r="256" spans="1:8" x14ac:dyDescent="0.2">
      <c r="A256" s="702">
        <v>44986</v>
      </c>
      <c r="B256" s="1" t="s">
        <v>4530</v>
      </c>
      <c r="D256" s="44"/>
      <c r="E256" s="44">
        <f>90000*2</f>
        <v>180000</v>
      </c>
      <c r="F256" s="44">
        <f>H256-E256</f>
        <v>57000</v>
      </c>
      <c r="G256" s="44"/>
      <c r="H256" s="605">
        <f>250000-13000</f>
        <v>237000</v>
      </c>
    </row>
    <row r="257" spans="1:8" x14ac:dyDescent="0.2">
      <c r="A257" s="702">
        <v>45017</v>
      </c>
      <c r="B257" s="1" t="s">
        <v>4387</v>
      </c>
      <c r="D257" s="44">
        <f>-D255</f>
        <v>-360000</v>
      </c>
      <c r="E257" s="44">
        <f>-D257</f>
        <v>360000</v>
      </c>
      <c r="F257" s="44"/>
      <c r="G257" s="44"/>
      <c r="H257" s="605">
        <v>0</v>
      </c>
    </row>
    <row r="258" spans="1:8" x14ac:dyDescent="0.2">
      <c r="A258" s="702">
        <v>45047</v>
      </c>
      <c r="B258" s="1" t="s">
        <v>4426</v>
      </c>
      <c r="D258" s="44"/>
      <c r="E258" s="44">
        <f>10%*(E256+E257)</f>
        <v>54000</v>
      </c>
      <c r="F258" s="44">
        <f>-E258</f>
        <v>-54000</v>
      </c>
      <c r="G258" s="44"/>
      <c r="H258" s="605">
        <v>0</v>
      </c>
    </row>
    <row r="259" spans="1:8" x14ac:dyDescent="0.2">
      <c r="A259" s="702">
        <v>45291</v>
      </c>
      <c r="B259" s="1" t="s">
        <v>1506</v>
      </c>
      <c r="D259" s="44"/>
      <c r="E259" s="44"/>
      <c r="F259" s="44"/>
      <c r="G259" s="44">
        <v>780000</v>
      </c>
      <c r="H259" s="605">
        <f>G259</f>
        <v>780000</v>
      </c>
    </row>
    <row r="260" spans="1:8" ht="17" thickBot="1" x14ac:dyDescent="0.25">
      <c r="A260" s="702">
        <v>45291</v>
      </c>
      <c r="B260" s="1" t="s">
        <v>4409</v>
      </c>
      <c r="D260" s="44"/>
      <c r="E260" s="44"/>
      <c r="F260" s="44"/>
      <c r="G260" s="44">
        <v>-44000</v>
      </c>
      <c r="H260" s="605">
        <f>G260</f>
        <v>-44000</v>
      </c>
    </row>
    <row r="261" spans="1:8" ht="17" thickBot="1" x14ac:dyDescent="0.25">
      <c r="A261" s="707">
        <v>45291</v>
      </c>
      <c r="B261" s="708" t="s">
        <v>4511</v>
      </c>
      <c r="C261" s="709"/>
      <c r="D261" s="126">
        <f>SUM(D255:D260)</f>
        <v>0</v>
      </c>
      <c r="E261" s="126">
        <f t="shared" ref="E261:H261" si="2">SUM(E255:E260)</f>
        <v>594000</v>
      </c>
      <c r="F261" s="126">
        <f t="shared" si="2"/>
        <v>389000</v>
      </c>
      <c r="G261" s="126">
        <f t="shared" si="2"/>
        <v>736000</v>
      </c>
      <c r="H261" s="127">
        <f t="shared" si="2"/>
        <v>1719000</v>
      </c>
    </row>
    <row r="265" spans="1:8" ht="28" x14ac:dyDescent="0.3">
      <c r="A265" s="695" t="s">
        <v>4438</v>
      </c>
      <c r="B265" s="695"/>
      <c r="C265" s="696"/>
      <c r="D265" s="696"/>
      <c r="E265" s="696"/>
      <c r="F265" s="696"/>
      <c r="G265" s="696"/>
      <c r="H265" s="695"/>
    </row>
    <row r="301" spans="1:8" ht="17" thickBot="1" x14ac:dyDescent="0.25">
      <c r="A301" s="2" t="s">
        <v>945</v>
      </c>
      <c r="B301" s="2"/>
      <c r="C301" s="150"/>
    </row>
    <row r="302" spans="1:8" x14ac:dyDescent="0.2">
      <c r="A302" s="18" t="s">
        <v>946</v>
      </c>
      <c r="B302" s="100"/>
      <c r="C302" s="179"/>
      <c r="D302" s="179"/>
      <c r="E302" s="179"/>
      <c r="F302" s="179"/>
      <c r="G302" s="179"/>
      <c r="H302" s="19"/>
    </row>
    <row r="303" spans="1:8" x14ac:dyDescent="0.2">
      <c r="A303" s="106" t="s">
        <v>1062</v>
      </c>
      <c r="H303" s="107"/>
    </row>
    <row r="304" spans="1:8" x14ac:dyDescent="0.2">
      <c r="A304" s="106" t="s">
        <v>2705</v>
      </c>
      <c r="H304" s="107"/>
    </row>
    <row r="305" spans="1:9" ht="17" thickBot="1" x14ac:dyDescent="0.25">
      <c r="A305" s="20" t="s">
        <v>1063</v>
      </c>
      <c r="B305" s="103"/>
      <c r="C305" s="158"/>
      <c r="D305" s="158"/>
      <c r="E305" s="158"/>
      <c r="F305" s="158"/>
      <c r="G305" s="158"/>
      <c r="H305" s="21"/>
    </row>
    <row r="306" spans="1:9" ht="17" thickBot="1" x14ac:dyDescent="0.25"/>
    <row r="307" spans="1:9" x14ac:dyDescent="0.2">
      <c r="A307" s="18" t="s">
        <v>2706</v>
      </c>
      <c r="B307" s="100"/>
      <c r="C307" s="179"/>
      <c r="D307" s="179"/>
      <c r="E307" s="179"/>
      <c r="F307" s="179"/>
      <c r="G307" s="179"/>
      <c r="H307" s="19"/>
    </row>
    <row r="308" spans="1:9" x14ac:dyDescent="0.2">
      <c r="A308" s="106" t="s">
        <v>1064</v>
      </c>
      <c r="H308" s="107"/>
    </row>
    <row r="309" spans="1:9" ht="17" thickBot="1" x14ac:dyDescent="0.25">
      <c r="A309" s="20" t="s">
        <v>1065</v>
      </c>
      <c r="B309" s="103"/>
      <c r="C309" s="158"/>
      <c r="D309" s="158"/>
      <c r="E309" s="158"/>
      <c r="F309" s="158"/>
      <c r="G309" s="158"/>
      <c r="H309" s="21"/>
      <c r="I309" s="1" t="s">
        <v>1066</v>
      </c>
    </row>
    <row r="310" spans="1:9" ht="17" thickBot="1" x14ac:dyDescent="0.25">
      <c r="I310" s="1" t="s">
        <v>1067</v>
      </c>
    </row>
    <row r="311" spans="1:9" x14ac:dyDescent="0.2">
      <c r="A311" s="18" t="s">
        <v>947</v>
      </c>
      <c r="B311" s="100"/>
      <c r="C311" s="179"/>
      <c r="D311" s="179"/>
      <c r="E311" s="179"/>
      <c r="F311" s="179"/>
      <c r="G311" s="179"/>
      <c r="H311" s="19"/>
      <c r="I311" s="1" t="s">
        <v>1068</v>
      </c>
    </row>
    <row r="312" spans="1:9" ht="17" thickBot="1" x14ac:dyDescent="0.25">
      <c r="A312" s="20" t="s">
        <v>948</v>
      </c>
      <c r="B312" s="103"/>
      <c r="C312" s="158"/>
      <c r="D312" s="158"/>
      <c r="E312" s="158"/>
      <c r="F312" s="158"/>
      <c r="G312" s="158"/>
      <c r="H312" s="21"/>
    </row>
    <row r="313" spans="1:9" ht="17" thickBot="1" x14ac:dyDescent="0.25"/>
    <row r="314" spans="1:9" x14ac:dyDescent="0.2">
      <c r="A314" s="159" t="s">
        <v>968</v>
      </c>
      <c r="B314" s="160"/>
      <c r="C314" s="163"/>
      <c r="D314" s="163"/>
      <c r="E314" s="163"/>
      <c r="F314" s="163"/>
      <c r="G314" s="163"/>
      <c r="H314" s="161"/>
    </row>
    <row r="315" spans="1:9" x14ac:dyDescent="0.2">
      <c r="A315" s="151" t="s">
        <v>969</v>
      </c>
      <c r="B315" s="2"/>
      <c r="C315" s="150"/>
      <c r="D315" s="150"/>
      <c r="E315" s="150"/>
      <c r="F315" s="150"/>
      <c r="G315" s="150"/>
      <c r="H315" s="152"/>
    </row>
    <row r="316" spans="1:9" x14ac:dyDescent="0.2">
      <c r="A316" s="151" t="s">
        <v>970</v>
      </c>
      <c r="B316" s="2"/>
      <c r="C316" s="150"/>
      <c r="D316" s="150"/>
      <c r="E316" s="150"/>
      <c r="F316" s="150"/>
      <c r="G316" s="150"/>
      <c r="H316" s="152"/>
    </row>
    <row r="317" spans="1:9" x14ac:dyDescent="0.2">
      <c r="A317" s="151" t="s">
        <v>971</v>
      </c>
      <c r="B317" s="2"/>
      <c r="C317" s="150"/>
      <c r="D317" s="150"/>
      <c r="E317" s="150"/>
      <c r="F317" s="150"/>
      <c r="G317" s="150"/>
      <c r="H317" s="152"/>
    </row>
    <row r="318" spans="1:9" x14ac:dyDescent="0.2">
      <c r="A318" s="151"/>
      <c r="B318" s="2"/>
      <c r="C318" s="150"/>
      <c r="D318" s="150"/>
      <c r="E318" s="150"/>
      <c r="F318" s="150"/>
      <c r="G318" s="150"/>
      <c r="H318" s="152"/>
    </row>
    <row r="319" spans="1:9" x14ac:dyDescent="0.2">
      <c r="A319" s="151" t="s">
        <v>972</v>
      </c>
      <c r="B319" s="2"/>
      <c r="C319" s="150"/>
      <c r="D319" s="150"/>
      <c r="E319" s="150"/>
      <c r="F319" s="150"/>
      <c r="G319" s="150"/>
      <c r="H319" s="152"/>
    </row>
    <row r="320" spans="1:9" x14ac:dyDescent="0.2">
      <c r="A320" s="151" t="s">
        <v>973</v>
      </c>
      <c r="B320" s="2"/>
      <c r="C320" s="150"/>
      <c r="D320" s="150"/>
      <c r="E320" s="150"/>
      <c r="F320" s="150"/>
      <c r="G320" s="150"/>
      <c r="H320" s="152"/>
    </row>
    <row r="321" spans="1:8" ht="17" thickBot="1" x14ac:dyDescent="0.25">
      <c r="A321" s="153" t="s">
        <v>974</v>
      </c>
      <c r="B321" s="154"/>
      <c r="C321" s="164"/>
      <c r="D321" s="164"/>
      <c r="E321" s="164"/>
      <c r="F321" s="164"/>
      <c r="G321" s="164"/>
      <c r="H321" s="155"/>
    </row>
    <row r="323" spans="1:8" x14ac:dyDescent="0.2">
      <c r="A323" s="85" t="s">
        <v>4439</v>
      </c>
      <c r="B323" s="16"/>
      <c r="C323" s="165"/>
      <c r="D323" s="165"/>
      <c r="E323" s="165"/>
      <c r="F323" s="165"/>
      <c r="G323" s="165"/>
      <c r="H323" s="16"/>
    </row>
    <row r="325" spans="1:8" x14ac:dyDescent="0.2">
      <c r="A325" s="1" t="s">
        <v>949</v>
      </c>
    </row>
    <row r="326" spans="1:8" x14ac:dyDescent="0.2">
      <c r="A326" s="1" t="s">
        <v>950</v>
      </c>
    </row>
    <row r="327" spans="1:8" x14ac:dyDescent="0.2">
      <c r="A327" s="1" t="s">
        <v>951</v>
      </c>
    </row>
    <row r="329" spans="1:8" x14ac:dyDescent="0.2">
      <c r="A329" s="36" t="s">
        <v>9</v>
      </c>
      <c r="B329" s="36" t="s">
        <v>107</v>
      </c>
    </row>
    <row r="330" spans="1:8" x14ac:dyDescent="0.2">
      <c r="A330" s="6" t="s">
        <v>133</v>
      </c>
      <c r="B330" s="6">
        <v>100</v>
      </c>
      <c r="C330" s="15"/>
      <c r="D330" s="316"/>
      <c r="E330" s="316"/>
      <c r="F330" s="316"/>
      <c r="G330" s="316"/>
    </row>
    <row r="331" spans="1:8" s="13" customFormat="1" x14ac:dyDescent="0.2">
      <c r="A331" s="15" t="s">
        <v>14</v>
      </c>
      <c r="B331" s="15">
        <v>50</v>
      </c>
      <c r="C331" s="15"/>
      <c r="D331" s="15"/>
      <c r="E331" s="15"/>
      <c r="F331" s="15"/>
      <c r="G331" s="15"/>
    </row>
    <row r="332" spans="1:8" s="13" customFormat="1" x14ac:dyDescent="0.2">
      <c r="A332" s="15" t="s">
        <v>68</v>
      </c>
      <c r="B332" s="15">
        <v>400</v>
      </c>
      <c r="C332" s="15"/>
      <c r="D332" s="15"/>
      <c r="E332" s="15"/>
      <c r="F332" s="15"/>
      <c r="G332" s="15"/>
    </row>
    <row r="333" spans="1:8" s="13" customFormat="1" ht="34" x14ac:dyDescent="0.2">
      <c r="A333" s="317" t="s">
        <v>952</v>
      </c>
      <c r="B333" s="15">
        <v>300</v>
      </c>
      <c r="C333" s="15"/>
      <c r="D333" s="15"/>
      <c r="E333" s="15"/>
      <c r="F333" s="15"/>
      <c r="G333" s="15"/>
    </row>
    <row r="334" spans="1:8" s="13" customFormat="1" x14ac:dyDescent="0.2">
      <c r="A334" s="15" t="s">
        <v>16</v>
      </c>
      <c r="B334" s="15">
        <v>70</v>
      </c>
      <c r="C334" s="15"/>
      <c r="D334" s="15"/>
      <c r="E334" s="15"/>
      <c r="F334" s="15"/>
      <c r="G334" s="15"/>
    </row>
    <row r="335" spans="1:8" s="13" customFormat="1" ht="34" x14ac:dyDescent="0.2">
      <c r="A335" s="317" t="s">
        <v>953</v>
      </c>
      <c r="B335" s="15">
        <v>200</v>
      </c>
      <c r="C335" s="15"/>
      <c r="D335" s="15"/>
      <c r="E335" s="15"/>
      <c r="F335" s="15"/>
      <c r="G335" s="15"/>
    </row>
    <row r="336" spans="1:8" s="13" customFormat="1" ht="34" x14ac:dyDescent="0.2">
      <c r="A336" s="317" t="s">
        <v>954</v>
      </c>
      <c r="B336" s="15">
        <v>100</v>
      </c>
      <c r="C336" s="15"/>
      <c r="D336" s="15"/>
      <c r="E336" s="15"/>
      <c r="F336" s="15"/>
      <c r="G336" s="15"/>
    </row>
    <row r="337" spans="1:9" s="13" customFormat="1" x14ac:dyDescent="0.2">
      <c r="A337" s="15" t="s">
        <v>24</v>
      </c>
      <c r="B337" s="15">
        <v>30</v>
      </c>
      <c r="C337" s="15"/>
      <c r="D337" s="15"/>
      <c r="E337" s="15"/>
      <c r="F337" s="15"/>
      <c r="G337" s="15"/>
    </row>
    <row r="338" spans="1:9" s="13" customFormat="1" x14ac:dyDescent="0.2">
      <c r="A338" s="15" t="s">
        <v>259</v>
      </c>
      <c r="B338" s="15">
        <v>220</v>
      </c>
      <c r="C338" s="15"/>
      <c r="D338" s="15"/>
      <c r="E338" s="15"/>
      <c r="F338" s="15"/>
      <c r="G338" s="15"/>
    </row>
    <row r="339" spans="1:9" s="13" customFormat="1" x14ac:dyDescent="0.2">
      <c r="A339" s="15" t="s">
        <v>81</v>
      </c>
      <c r="B339" s="15">
        <v>30</v>
      </c>
      <c r="C339" s="15"/>
      <c r="D339" s="15"/>
      <c r="E339" s="15"/>
      <c r="F339" s="15"/>
      <c r="G339" s="15"/>
    </row>
    <row r="340" spans="1:9" x14ac:dyDescent="0.2">
      <c r="A340" s="6" t="s">
        <v>1904</v>
      </c>
      <c r="B340" s="6" t="s">
        <v>26</v>
      </c>
      <c r="C340" s="316"/>
      <c r="D340" s="316"/>
      <c r="E340" s="51"/>
      <c r="F340" s="316"/>
      <c r="G340" s="316"/>
    </row>
    <row r="341" spans="1:9" ht="34" x14ac:dyDescent="0.2">
      <c r="A341" s="162" t="s">
        <v>1905</v>
      </c>
      <c r="B341" s="6" t="s">
        <v>26</v>
      </c>
      <c r="C341" s="393"/>
      <c r="D341" s="316"/>
      <c r="E341" s="316"/>
      <c r="F341" s="316"/>
      <c r="G341" s="316"/>
    </row>
    <row r="342" spans="1:9" ht="52" customHeight="1" x14ac:dyDescent="0.2">
      <c r="A342" s="162" t="s">
        <v>1910</v>
      </c>
      <c r="B342" s="6" t="s">
        <v>26</v>
      </c>
      <c r="C342" s="393"/>
      <c r="D342" s="316"/>
      <c r="E342" s="316"/>
      <c r="F342" s="316"/>
      <c r="G342" s="316"/>
      <c r="I342" s="30"/>
    </row>
    <row r="343" spans="1:9" ht="34" x14ac:dyDescent="0.2">
      <c r="A343" s="162" t="s">
        <v>956</v>
      </c>
      <c r="B343" s="6">
        <v>14</v>
      </c>
      <c r="C343" s="316"/>
      <c r="D343" s="316"/>
      <c r="E343" s="316"/>
      <c r="F343" s="316"/>
      <c r="G343" s="15"/>
    </row>
    <row r="344" spans="1:9" ht="34" x14ac:dyDescent="0.2">
      <c r="A344" s="162" t="s">
        <v>989</v>
      </c>
      <c r="B344" s="6">
        <v>15</v>
      </c>
      <c r="C344" s="316"/>
      <c r="D344" s="316"/>
      <c r="E344" s="316"/>
      <c r="F344" s="15"/>
      <c r="G344" s="316"/>
    </row>
    <row r="345" spans="1:9" s="13" customFormat="1" ht="34" x14ac:dyDescent="0.2">
      <c r="A345" s="317" t="s">
        <v>957</v>
      </c>
      <c r="B345" s="15">
        <v>1000</v>
      </c>
      <c r="C345" s="15"/>
      <c r="D345" s="15"/>
      <c r="E345" s="15"/>
      <c r="F345" s="15"/>
      <c r="G345" s="15"/>
    </row>
    <row r="346" spans="1:9" s="13" customFormat="1" ht="34" x14ac:dyDescent="0.2">
      <c r="A346" s="317" t="s">
        <v>958</v>
      </c>
      <c r="B346" s="15">
        <v>450</v>
      </c>
      <c r="C346" s="15"/>
      <c r="D346" s="15"/>
      <c r="E346" s="15"/>
      <c r="F346" s="15"/>
      <c r="G346" s="15"/>
    </row>
    <row r="347" spans="1:9" s="13" customFormat="1" x14ac:dyDescent="0.2">
      <c r="A347" s="15" t="s">
        <v>19</v>
      </c>
      <c r="B347" s="15">
        <v>250</v>
      </c>
      <c r="C347" s="15"/>
      <c r="D347" s="15"/>
      <c r="E347" s="15"/>
      <c r="F347" s="15"/>
      <c r="G347" s="15"/>
    </row>
    <row r="348" spans="1:9" s="13" customFormat="1" ht="34" x14ac:dyDescent="0.2">
      <c r="A348" s="317" t="s">
        <v>959</v>
      </c>
      <c r="B348" s="15">
        <v>10</v>
      </c>
      <c r="C348" s="15"/>
      <c r="D348" s="15"/>
      <c r="E348" s="15"/>
      <c r="F348" s="15"/>
      <c r="G348" s="15"/>
    </row>
    <row r="349" spans="1:9" s="13" customFormat="1" ht="34" x14ac:dyDescent="0.2">
      <c r="A349" s="317" t="s">
        <v>960</v>
      </c>
      <c r="B349" s="15">
        <v>12</v>
      </c>
      <c r="C349" s="15"/>
      <c r="D349" s="15"/>
      <c r="E349" s="15"/>
      <c r="F349" s="15"/>
      <c r="G349" s="15"/>
    </row>
    <row r="350" spans="1:9" s="13" customFormat="1" ht="34" x14ac:dyDescent="0.2">
      <c r="A350" s="317" t="s">
        <v>961</v>
      </c>
      <c r="B350" s="15">
        <v>17</v>
      </c>
      <c r="C350" s="15"/>
      <c r="D350" s="15"/>
      <c r="E350" s="15"/>
      <c r="F350" s="15"/>
      <c r="G350" s="15"/>
    </row>
    <row r="351" spans="1:9" s="13" customFormat="1" ht="34" x14ac:dyDescent="0.2">
      <c r="A351" s="317" t="s">
        <v>962</v>
      </c>
      <c r="B351" s="15">
        <v>80</v>
      </c>
      <c r="C351" s="15"/>
      <c r="D351" s="15"/>
      <c r="E351" s="15"/>
      <c r="F351" s="15"/>
      <c r="G351" s="15"/>
    </row>
    <row r="352" spans="1:9" s="13" customFormat="1" ht="34" x14ac:dyDescent="0.2">
      <c r="A352" s="317" t="s">
        <v>963</v>
      </c>
      <c r="B352" s="15">
        <v>11</v>
      </c>
      <c r="C352" s="15"/>
      <c r="D352" s="15"/>
      <c r="E352" s="15"/>
      <c r="F352" s="15"/>
      <c r="G352" s="15"/>
    </row>
    <row r="353" spans="1:7" s="13" customFormat="1" ht="34" x14ac:dyDescent="0.2">
      <c r="A353" s="317" t="s">
        <v>964</v>
      </c>
      <c r="B353" s="15">
        <v>7</v>
      </c>
      <c r="C353" s="15"/>
      <c r="D353" s="15"/>
      <c r="E353" s="15"/>
      <c r="F353" s="15"/>
      <c r="G353" s="15"/>
    </row>
    <row r="354" spans="1:7" s="13" customFormat="1" ht="34" x14ac:dyDescent="0.2">
      <c r="A354" s="317" t="s">
        <v>965</v>
      </c>
      <c r="B354" s="15">
        <v>9</v>
      </c>
      <c r="C354" s="15"/>
      <c r="D354" s="15"/>
      <c r="E354" s="15"/>
      <c r="F354" s="15"/>
      <c r="G354" s="15"/>
    </row>
    <row r="355" spans="1:7" s="13" customFormat="1" ht="34" x14ac:dyDescent="0.2">
      <c r="A355" s="317" t="s">
        <v>966</v>
      </c>
      <c r="B355" s="15">
        <v>5</v>
      </c>
      <c r="C355" s="15"/>
      <c r="D355" s="15"/>
      <c r="E355" s="15"/>
      <c r="F355" s="15"/>
      <c r="G355" s="15"/>
    </row>
    <row r="356" spans="1:7" s="13" customFormat="1" ht="34" x14ac:dyDescent="0.2">
      <c r="A356" s="317" t="s">
        <v>967</v>
      </c>
      <c r="B356" s="15">
        <v>12</v>
      </c>
      <c r="C356" s="15"/>
      <c r="D356" s="15"/>
      <c r="E356" s="15"/>
      <c r="F356" s="15"/>
      <c r="G356" s="15"/>
    </row>
    <row r="357" spans="1:7" s="13" customFormat="1" ht="51" x14ac:dyDescent="0.2">
      <c r="A357" s="317" t="s">
        <v>1906</v>
      </c>
      <c r="B357" s="15">
        <v>8</v>
      </c>
      <c r="C357" s="15"/>
      <c r="D357" s="15"/>
      <c r="E357" s="15"/>
      <c r="F357" s="15"/>
      <c r="G357" s="15"/>
    </row>
    <row r="358" spans="1:7" ht="51" x14ac:dyDescent="0.2">
      <c r="A358" s="162" t="s">
        <v>1907</v>
      </c>
      <c r="B358" s="6" t="s">
        <v>26</v>
      </c>
      <c r="C358" s="393"/>
      <c r="D358" s="316"/>
      <c r="E358" s="316"/>
      <c r="F358" s="316"/>
      <c r="G358" s="316"/>
    </row>
    <row r="359" spans="1:7" ht="52" thickBot="1" x14ac:dyDescent="0.25">
      <c r="A359" s="162" t="s">
        <v>1908</v>
      </c>
      <c r="B359" s="6" t="s">
        <v>26</v>
      </c>
      <c r="C359" s="316"/>
      <c r="D359" s="316"/>
      <c r="E359" s="316"/>
      <c r="F359" s="316"/>
      <c r="G359" s="393"/>
    </row>
    <row r="360" spans="1:7" ht="18" thickBot="1" x14ac:dyDescent="0.25">
      <c r="A360" s="162" t="s">
        <v>272</v>
      </c>
      <c r="B360" s="172"/>
      <c r="C360" s="15"/>
      <c r="D360" s="15"/>
      <c r="E360" s="15"/>
      <c r="F360" s="15"/>
      <c r="G360" s="15"/>
    </row>
    <row r="361" spans="1:7" x14ac:dyDescent="0.2">
      <c r="A361" s="162"/>
      <c r="B361" s="6"/>
    </row>
    <row r="362" spans="1:7" x14ac:dyDescent="0.2">
      <c r="A362" s="1" t="s">
        <v>975</v>
      </c>
    </row>
    <row r="363" spans="1:7" x14ac:dyDescent="0.2">
      <c r="A363" s="1" t="s">
        <v>275</v>
      </c>
      <c r="B363" s="1" t="s">
        <v>976</v>
      </c>
    </row>
    <row r="364" spans="1:7" x14ac:dyDescent="0.2">
      <c r="B364" s="1" t="s">
        <v>977</v>
      </c>
    </row>
    <row r="365" spans="1:7" x14ac:dyDescent="0.2">
      <c r="B365" s="1" t="s">
        <v>978</v>
      </c>
    </row>
    <row r="366" spans="1:7" x14ac:dyDescent="0.2">
      <c r="B366" s="1" t="s">
        <v>979</v>
      </c>
    </row>
    <row r="368" spans="1:7" x14ac:dyDescent="0.2">
      <c r="A368" s="1" t="s">
        <v>276</v>
      </c>
      <c r="B368" s="1" t="s">
        <v>980</v>
      </c>
    </row>
    <row r="369" spans="1:6" x14ac:dyDescent="0.2">
      <c r="B369" s="1" t="s">
        <v>981</v>
      </c>
    </row>
    <row r="370" spans="1:6" x14ac:dyDescent="0.2">
      <c r="B370" s="1" t="s">
        <v>2709</v>
      </c>
    </row>
    <row r="371" spans="1:6" x14ac:dyDescent="0.2">
      <c r="B371" s="2" t="s">
        <v>2708</v>
      </c>
    </row>
    <row r="373" spans="1:6" x14ac:dyDescent="0.2">
      <c r="A373" s="1" t="s">
        <v>279</v>
      </c>
      <c r="B373" s="1" t="s">
        <v>983</v>
      </c>
    </row>
    <row r="374" spans="1:6" x14ac:dyDescent="0.2">
      <c r="B374" s="1" t="s">
        <v>984</v>
      </c>
    </row>
    <row r="376" spans="1:6" x14ac:dyDescent="0.2">
      <c r="A376" s="1" t="s">
        <v>280</v>
      </c>
      <c r="B376" s="1" t="s">
        <v>985</v>
      </c>
    </row>
    <row r="377" spans="1:6" x14ac:dyDescent="0.2">
      <c r="B377" s="1" t="s">
        <v>986</v>
      </c>
    </row>
    <row r="378" spans="1:6" x14ac:dyDescent="0.2">
      <c r="B378" s="1" t="s">
        <v>987</v>
      </c>
    </row>
    <row r="380" spans="1:6" x14ac:dyDescent="0.2">
      <c r="A380" s="2" t="s">
        <v>988</v>
      </c>
      <c r="B380" s="2"/>
      <c r="C380" s="150"/>
      <c r="D380" s="150"/>
      <c r="E380" s="150"/>
      <c r="F380" s="150"/>
    </row>
    <row r="381" spans="1:6" x14ac:dyDescent="0.2">
      <c r="A381" s="2" t="s">
        <v>4440</v>
      </c>
      <c r="B381" s="2"/>
      <c r="C381" s="150"/>
      <c r="D381" s="150"/>
      <c r="E381" s="150"/>
      <c r="F381" s="150"/>
    </row>
    <row r="383" spans="1:6" x14ac:dyDescent="0.2">
      <c r="A383" s="1" t="s">
        <v>657</v>
      </c>
    </row>
    <row r="386" spans="1:6" x14ac:dyDescent="0.2">
      <c r="A386" s="6" t="s">
        <v>3192</v>
      </c>
      <c r="B386" s="6" t="s">
        <v>3184</v>
      </c>
      <c r="D386" s="6" t="s">
        <v>3174</v>
      </c>
      <c r="F386" s="6" t="s">
        <v>3171</v>
      </c>
    </row>
    <row r="387" spans="1:6" x14ac:dyDescent="0.2">
      <c r="A387" s="6" t="s">
        <v>3193</v>
      </c>
      <c r="B387" s="6" t="s">
        <v>3185</v>
      </c>
      <c r="D387" s="6" t="s">
        <v>3175</v>
      </c>
      <c r="F387" s="6" t="s">
        <v>3172</v>
      </c>
    </row>
    <row r="388" spans="1:6" x14ac:dyDescent="0.2">
      <c r="A388" s="6" t="s">
        <v>3194</v>
      </c>
      <c r="B388" s="6" t="s">
        <v>2858</v>
      </c>
      <c r="D388" s="6" t="s">
        <v>3176</v>
      </c>
      <c r="F388" s="6" t="s">
        <v>1613</v>
      </c>
    </row>
    <row r="389" spans="1:6" x14ac:dyDescent="0.2">
      <c r="A389" s="6" t="s">
        <v>3195</v>
      </c>
      <c r="D389" s="6" t="s">
        <v>3177</v>
      </c>
      <c r="F389" s="6" t="s">
        <v>3173</v>
      </c>
    </row>
    <row r="393" spans="1:6" x14ac:dyDescent="0.2">
      <c r="B393" s="6" t="s">
        <v>3186</v>
      </c>
      <c r="D393" s="6" t="s">
        <v>3178</v>
      </c>
    </row>
    <row r="394" spans="1:6" x14ac:dyDescent="0.2">
      <c r="B394" s="6" t="s">
        <v>2795</v>
      </c>
      <c r="D394" s="6" t="s">
        <v>3179</v>
      </c>
    </row>
    <row r="395" spans="1:6" x14ac:dyDescent="0.2">
      <c r="B395" s="6" t="s">
        <v>3187</v>
      </c>
      <c r="D395" s="150" t="s">
        <v>3180</v>
      </c>
    </row>
    <row r="396" spans="1:6" x14ac:dyDescent="0.2">
      <c r="B396" s="6" t="s">
        <v>3188</v>
      </c>
      <c r="D396" s="6" t="s">
        <v>3181</v>
      </c>
    </row>
    <row r="397" spans="1:6" x14ac:dyDescent="0.2">
      <c r="B397" s="6" t="s">
        <v>3189</v>
      </c>
      <c r="D397" s="6" t="s">
        <v>3182</v>
      </c>
    </row>
    <row r="398" spans="1:6" x14ac:dyDescent="0.2">
      <c r="A398" s="6" t="s">
        <v>3196</v>
      </c>
      <c r="B398" s="6" t="s">
        <v>3190</v>
      </c>
      <c r="D398" s="6" t="s">
        <v>3183</v>
      </c>
    </row>
    <row r="399" spans="1:6" x14ac:dyDescent="0.2">
      <c r="B399" s="6" t="s">
        <v>3191</v>
      </c>
    </row>
    <row r="401" spans="1:9" x14ac:dyDescent="0.2">
      <c r="A401" s="110" t="s">
        <v>2707</v>
      </c>
      <c r="B401" s="8"/>
      <c r="C401" s="46"/>
      <c r="D401" s="46"/>
      <c r="E401" s="46"/>
      <c r="F401" s="46"/>
      <c r="G401" s="46"/>
      <c r="H401" s="8"/>
    </row>
    <row r="403" spans="1:9" x14ac:dyDescent="0.2">
      <c r="A403" s="36" t="s">
        <v>9</v>
      </c>
      <c r="B403" s="36" t="s">
        <v>107</v>
      </c>
      <c r="C403" s="36" t="s">
        <v>6</v>
      </c>
      <c r="D403" s="36" t="s">
        <v>7</v>
      </c>
      <c r="E403" s="36" t="s">
        <v>124</v>
      </c>
      <c r="F403" s="36" t="s">
        <v>4</v>
      </c>
      <c r="G403" s="36" t="s">
        <v>5</v>
      </c>
    </row>
    <row r="404" spans="1:9" s="13" customFormat="1" x14ac:dyDescent="0.2">
      <c r="A404" s="15" t="s">
        <v>133</v>
      </c>
      <c r="B404" s="15">
        <v>100</v>
      </c>
      <c r="C404" s="15">
        <f>B404</f>
        <v>100</v>
      </c>
      <c r="D404" s="15"/>
      <c r="E404" s="15"/>
      <c r="F404" s="15"/>
      <c r="G404" s="15"/>
    </row>
    <row r="405" spans="1:9" s="13" customFormat="1" x14ac:dyDescent="0.2">
      <c r="A405" s="15" t="s">
        <v>14</v>
      </c>
      <c r="B405" s="15">
        <v>50</v>
      </c>
      <c r="C405" s="15">
        <f>B405</f>
        <v>50</v>
      </c>
      <c r="D405" s="15"/>
      <c r="E405" s="15"/>
      <c r="F405" s="15"/>
      <c r="G405" s="15"/>
    </row>
    <row r="406" spans="1:9" s="13" customFormat="1" x14ac:dyDescent="0.2">
      <c r="A406" s="15" t="s">
        <v>68</v>
      </c>
      <c r="B406" s="15">
        <v>400</v>
      </c>
      <c r="C406" s="15"/>
      <c r="D406" s="15"/>
      <c r="E406" s="15"/>
      <c r="F406" s="15">
        <f>B406</f>
        <v>400</v>
      </c>
      <c r="G406" s="15"/>
    </row>
    <row r="407" spans="1:9" s="13" customFormat="1" ht="34" x14ac:dyDescent="0.2">
      <c r="A407" s="317" t="s">
        <v>952</v>
      </c>
      <c r="B407" s="15">
        <v>300</v>
      </c>
      <c r="C407" s="15">
        <f>B407</f>
        <v>300</v>
      </c>
      <c r="D407" s="15"/>
      <c r="E407" s="15"/>
      <c r="F407" s="15"/>
      <c r="G407" s="15"/>
    </row>
    <row r="408" spans="1:9" s="13" customFormat="1" x14ac:dyDescent="0.2">
      <c r="A408" s="15" t="s">
        <v>16</v>
      </c>
      <c r="B408" s="15">
        <v>70</v>
      </c>
      <c r="C408" s="15"/>
      <c r="D408" s="15">
        <f>B408</f>
        <v>70</v>
      </c>
      <c r="E408" s="15"/>
      <c r="F408" s="15"/>
      <c r="G408" s="15"/>
    </row>
    <row r="409" spans="1:9" s="13" customFormat="1" ht="34" x14ac:dyDescent="0.2">
      <c r="A409" s="317" t="s">
        <v>953</v>
      </c>
      <c r="B409" s="15">
        <v>200</v>
      </c>
      <c r="C409" s="15"/>
      <c r="D409" s="15">
        <f>B409</f>
        <v>200</v>
      </c>
      <c r="E409" s="15"/>
      <c r="F409" s="15"/>
      <c r="G409" s="15"/>
    </row>
    <row r="410" spans="1:9" s="13" customFormat="1" ht="34" x14ac:dyDescent="0.2">
      <c r="A410" s="317" t="s">
        <v>954</v>
      </c>
      <c r="B410" s="15">
        <v>100</v>
      </c>
      <c r="C410" s="15"/>
      <c r="D410" s="15">
        <f>B410</f>
        <v>100</v>
      </c>
      <c r="E410" s="15"/>
      <c r="F410" s="15"/>
      <c r="G410" s="15"/>
    </row>
    <row r="411" spans="1:9" s="13" customFormat="1" x14ac:dyDescent="0.2">
      <c r="A411" s="15" t="s">
        <v>24</v>
      </c>
      <c r="B411" s="15">
        <v>30</v>
      </c>
      <c r="C411" s="15"/>
      <c r="D411" s="15"/>
      <c r="E411" s="15">
        <f>B411</f>
        <v>30</v>
      </c>
      <c r="F411" s="15"/>
      <c r="G411" s="15"/>
    </row>
    <row r="412" spans="1:9" s="13" customFormat="1" x14ac:dyDescent="0.2">
      <c r="A412" s="15" t="s">
        <v>259</v>
      </c>
      <c r="B412" s="15">
        <v>220</v>
      </c>
      <c r="C412" s="15"/>
      <c r="D412" s="15"/>
      <c r="E412" s="15"/>
      <c r="F412" s="15"/>
      <c r="G412" s="15">
        <f>B412</f>
        <v>220</v>
      </c>
    </row>
    <row r="413" spans="1:9" s="13" customFormat="1" x14ac:dyDescent="0.2">
      <c r="A413" s="15" t="s">
        <v>1620</v>
      </c>
      <c r="B413" s="15">
        <v>30</v>
      </c>
      <c r="C413" s="15">
        <f>B413</f>
        <v>30</v>
      </c>
      <c r="D413" s="15"/>
      <c r="E413" s="15"/>
      <c r="F413" s="15"/>
      <c r="G413" s="15"/>
      <c r="H413" s="13" t="s">
        <v>3166</v>
      </c>
    </row>
    <row r="414" spans="1:9" s="13" customFormat="1" ht="17" x14ac:dyDescent="0.2">
      <c r="A414" s="15" t="s">
        <v>4531</v>
      </c>
      <c r="B414" s="15" t="s">
        <v>26</v>
      </c>
      <c r="C414" s="15"/>
      <c r="D414" s="15"/>
      <c r="E414" s="710" t="s">
        <v>26</v>
      </c>
      <c r="F414" s="15"/>
      <c r="G414" s="15"/>
    </row>
    <row r="415" spans="1:9" s="13" customFormat="1" ht="34" x14ac:dyDescent="0.2">
      <c r="A415" s="317" t="s">
        <v>1905</v>
      </c>
      <c r="B415" s="15" t="s">
        <v>26</v>
      </c>
      <c r="C415" s="697">
        <v>1000</v>
      </c>
      <c r="D415" s="15"/>
      <c r="E415" s="15"/>
      <c r="F415" s="15"/>
      <c r="G415" s="15"/>
      <c r="H415" s="13" t="s">
        <v>3197</v>
      </c>
    </row>
    <row r="416" spans="1:9" s="13" customFormat="1" ht="52" customHeight="1" x14ac:dyDescent="0.2">
      <c r="A416" s="317" t="s">
        <v>4442</v>
      </c>
      <c r="B416" s="15" t="s">
        <v>26</v>
      </c>
      <c r="C416" s="697">
        <f>-(1000-0)/10*(9/12)</f>
        <v>-75</v>
      </c>
      <c r="D416" s="15"/>
      <c r="E416" s="15"/>
      <c r="F416" s="15"/>
      <c r="G416" s="15"/>
      <c r="H416" s="883" t="s">
        <v>1909</v>
      </c>
      <c r="I416" s="883"/>
    </row>
    <row r="417" spans="1:8" s="13" customFormat="1" ht="34" x14ac:dyDescent="0.2">
      <c r="A417" s="317" t="s">
        <v>956</v>
      </c>
      <c r="B417" s="15">
        <v>14</v>
      </c>
      <c r="C417" s="15"/>
      <c r="D417" s="15"/>
      <c r="E417" s="15"/>
      <c r="F417" s="15"/>
      <c r="G417" s="15">
        <f>-B417</f>
        <v>-14</v>
      </c>
    </row>
    <row r="418" spans="1:8" s="13" customFormat="1" ht="34" x14ac:dyDescent="0.2">
      <c r="A418" s="317" t="s">
        <v>4441</v>
      </c>
      <c r="B418" s="15">
        <v>15</v>
      </c>
      <c r="C418" s="15"/>
      <c r="D418" s="15"/>
      <c r="E418" s="15"/>
      <c r="F418" s="15">
        <f>B418</f>
        <v>15</v>
      </c>
      <c r="G418" s="15"/>
    </row>
    <row r="419" spans="1:8" s="13" customFormat="1" ht="34" x14ac:dyDescent="0.2">
      <c r="A419" s="317" t="s">
        <v>957</v>
      </c>
      <c r="B419" s="15">
        <v>1000</v>
      </c>
      <c r="C419" s="15">
        <f>B419</f>
        <v>1000</v>
      </c>
      <c r="D419" s="15"/>
      <c r="E419" s="15"/>
      <c r="F419" s="15"/>
      <c r="G419" s="15"/>
    </row>
    <row r="420" spans="1:8" s="13" customFormat="1" ht="34" x14ac:dyDescent="0.2">
      <c r="A420" s="317" t="s">
        <v>958</v>
      </c>
      <c r="B420" s="15">
        <v>450</v>
      </c>
      <c r="C420" s="15">
        <f>B420</f>
        <v>450</v>
      </c>
      <c r="D420" s="15"/>
      <c r="E420" s="15"/>
      <c r="F420" s="15"/>
      <c r="G420" s="15"/>
    </row>
    <row r="421" spans="1:8" s="13" customFormat="1" x14ac:dyDescent="0.2">
      <c r="A421" s="15" t="s">
        <v>19</v>
      </c>
      <c r="B421" s="15">
        <v>250</v>
      </c>
      <c r="C421" s="15">
        <f>B421</f>
        <v>250</v>
      </c>
      <c r="D421" s="15"/>
      <c r="E421" s="15"/>
      <c r="F421" s="15"/>
      <c r="G421" s="15"/>
    </row>
    <row r="422" spans="1:8" s="13" customFormat="1" ht="34" x14ac:dyDescent="0.2">
      <c r="A422" s="317" t="s">
        <v>959</v>
      </c>
      <c r="B422" s="15">
        <v>10</v>
      </c>
      <c r="C422" s="15"/>
      <c r="D422" s="15"/>
      <c r="E422" s="15"/>
      <c r="F422" s="15"/>
      <c r="G422" s="15">
        <f>B422</f>
        <v>10</v>
      </c>
    </row>
    <row r="423" spans="1:8" s="13" customFormat="1" ht="34" x14ac:dyDescent="0.2">
      <c r="A423" s="317" t="s">
        <v>960</v>
      </c>
      <c r="B423" s="15">
        <v>12</v>
      </c>
      <c r="C423" s="15"/>
      <c r="D423" s="15"/>
      <c r="E423" s="15"/>
      <c r="F423" s="15">
        <f>B423</f>
        <v>12</v>
      </c>
      <c r="G423" s="15"/>
    </row>
    <row r="424" spans="1:8" s="13" customFormat="1" ht="34" x14ac:dyDescent="0.2">
      <c r="A424" s="317" t="s">
        <v>961</v>
      </c>
      <c r="B424" s="15">
        <v>17</v>
      </c>
      <c r="C424" s="15"/>
      <c r="D424" s="15"/>
      <c r="E424" s="15"/>
      <c r="F424" s="15"/>
      <c r="G424" s="15">
        <f t="shared" ref="G424:G429" si="3">B424</f>
        <v>17</v>
      </c>
    </row>
    <row r="425" spans="1:8" s="13" customFormat="1" ht="34" x14ac:dyDescent="0.2">
      <c r="A425" s="317" t="s">
        <v>962</v>
      </c>
      <c r="B425" s="15">
        <v>80</v>
      </c>
      <c r="C425" s="15"/>
      <c r="D425" s="15"/>
      <c r="E425" s="15"/>
      <c r="F425" s="15"/>
      <c r="G425" s="15">
        <f t="shared" si="3"/>
        <v>80</v>
      </c>
    </row>
    <row r="426" spans="1:8" s="13" customFormat="1" ht="34" x14ac:dyDescent="0.2">
      <c r="A426" s="317" t="s">
        <v>963</v>
      </c>
      <c r="B426" s="15">
        <v>11</v>
      </c>
      <c r="C426" s="15"/>
      <c r="D426" s="15"/>
      <c r="E426" s="15"/>
      <c r="F426" s="15"/>
      <c r="G426" s="15">
        <f t="shared" si="3"/>
        <v>11</v>
      </c>
    </row>
    <row r="427" spans="1:8" s="13" customFormat="1" ht="34" x14ac:dyDescent="0.2">
      <c r="A427" s="317" t="s">
        <v>964</v>
      </c>
      <c r="B427" s="15">
        <v>7</v>
      </c>
      <c r="C427" s="15"/>
      <c r="D427" s="15"/>
      <c r="E427" s="15"/>
      <c r="F427" s="15"/>
      <c r="G427" s="15">
        <f t="shared" si="3"/>
        <v>7</v>
      </c>
    </row>
    <row r="428" spans="1:8" s="13" customFormat="1" ht="34" x14ac:dyDescent="0.2">
      <c r="A428" s="317" t="s">
        <v>965</v>
      </c>
      <c r="B428" s="15">
        <v>9</v>
      </c>
      <c r="C428" s="15"/>
      <c r="D428" s="15"/>
      <c r="E428" s="15"/>
      <c r="F428" s="15"/>
      <c r="G428" s="15">
        <f t="shared" si="3"/>
        <v>9</v>
      </c>
    </row>
    <row r="429" spans="1:8" s="13" customFormat="1" ht="34" x14ac:dyDescent="0.2">
      <c r="A429" s="317" t="s">
        <v>966</v>
      </c>
      <c r="B429" s="15">
        <v>5</v>
      </c>
      <c r="C429" s="15"/>
      <c r="D429" s="15"/>
      <c r="E429" s="15"/>
      <c r="F429" s="15"/>
      <c r="G429" s="15">
        <f t="shared" si="3"/>
        <v>5</v>
      </c>
    </row>
    <row r="430" spans="1:8" s="13" customFormat="1" ht="34" x14ac:dyDescent="0.2">
      <c r="A430" s="317" t="s">
        <v>967</v>
      </c>
      <c r="B430" s="15">
        <v>12</v>
      </c>
      <c r="C430" s="15"/>
      <c r="D430" s="15"/>
      <c r="E430" s="15"/>
      <c r="F430" s="15">
        <f>-B430</f>
        <v>-12</v>
      </c>
      <c r="G430" s="15"/>
    </row>
    <row r="431" spans="1:8" s="13" customFormat="1" ht="51" x14ac:dyDescent="0.2">
      <c r="A431" s="317" t="s">
        <v>1906</v>
      </c>
      <c r="B431" s="15">
        <v>8</v>
      </c>
      <c r="C431" s="15"/>
      <c r="D431" s="15"/>
      <c r="E431" s="15"/>
      <c r="F431" s="15">
        <f>-B431</f>
        <v>-8</v>
      </c>
      <c r="G431" s="15"/>
    </row>
    <row r="432" spans="1:8" s="13" customFormat="1" ht="51" x14ac:dyDescent="0.2">
      <c r="A432" s="317" t="s">
        <v>3169</v>
      </c>
      <c r="B432" s="15" t="s">
        <v>26</v>
      </c>
      <c r="C432" s="697">
        <v>20</v>
      </c>
      <c r="D432" s="15"/>
      <c r="E432" s="15"/>
      <c r="F432" s="15"/>
      <c r="G432" s="15"/>
      <c r="H432" s="13" t="s">
        <v>3167</v>
      </c>
    </row>
    <row r="433" spans="1:8" s="13" customFormat="1" ht="52" thickBot="1" x14ac:dyDescent="0.25">
      <c r="A433" s="317" t="s">
        <v>3170</v>
      </c>
      <c r="B433" s="15" t="s">
        <v>26</v>
      </c>
      <c r="C433" s="15"/>
      <c r="D433" s="15"/>
      <c r="E433" s="15"/>
      <c r="F433" s="15"/>
      <c r="G433" s="697">
        <v>-20</v>
      </c>
      <c r="H433" s="13" t="s">
        <v>3168</v>
      </c>
    </row>
    <row r="434" spans="1:8" s="13" customFormat="1" ht="18" thickBot="1" x14ac:dyDescent="0.25">
      <c r="A434" s="317" t="s">
        <v>272</v>
      </c>
      <c r="B434" s="711"/>
      <c r="C434" s="698">
        <f>SUM(C404:C433)</f>
        <v>3125</v>
      </c>
      <c r="D434" s="698">
        <f>SUM(D404:D433)</f>
        <v>370</v>
      </c>
      <c r="E434" s="698" t="s">
        <v>1035</v>
      </c>
      <c r="F434" s="698">
        <f>SUM(F404:F433)</f>
        <v>407</v>
      </c>
      <c r="G434" s="698">
        <f>SUM(G404:G433)</f>
        <v>325</v>
      </c>
    </row>
    <row r="435" spans="1:8" x14ac:dyDescent="0.2">
      <c r="A435" s="162"/>
      <c r="B435" s="6"/>
    </row>
    <row r="436" spans="1:8" x14ac:dyDescent="0.2">
      <c r="A436" s="162"/>
      <c r="B436" s="6"/>
      <c r="E436" s="6" t="s">
        <v>1036</v>
      </c>
    </row>
    <row r="437" spans="1:8" x14ac:dyDescent="0.2">
      <c r="A437" s="162"/>
      <c r="B437" s="6"/>
      <c r="D437" s="87" t="s">
        <v>1037</v>
      </c>
    </row>
    <row r="441" spans="1:8" ht="23" x14ac:dyDescent="0.25">
      <c r="A441" s="918" t="s">
        <v>1053</v>
      </c>
      <c r="B441" s="918"/>
      <c r="C441" s="918"/>
      <c r="D441" s="918"/>
      <c r="E441" s="918"/>
      <c r="F441" s="918"/>
      <c r="G441" s="918"/>
      <c r="H441" s="918"/>
    </row>
    <row r="444" spans="1:8" x14ac:dyDescent="0.2">
      <c r="A444" s="166" t="s">
        <v>990</v>
      </c>
    </row>
    <row r="445" spans="1:8" x14ac:dyDescent="0.2">
      <c r="A445" s="1" t="s">
        <v>991</v>
      </c>
    </row>
    <row r="446" spans="1:8" x14ac:dyDescent="0.2">
      <c r="A446" s="1" t="s">
        <v>992</v>
      </c>
    </row>
    <row r="447" spans="1:8" x14ac:dyDescent="0.2">
      <c r="A447" s="1" t="s">
        <v>993</v>
      </c>
    </row>
    <row r="448" spans="1:8" x14ac:dyDescent="0.2">
      <c r="D448" s="6" t="s">
        <v>1000</v>
      </c>
      <c r="E448" s="6" t="s">
        <v>1001</v>
      </c>
    </row>
    <row r="449" spans="1:6" x14ac:dyDescent="0.2">
      <c r="B449" s="1" t="s">
        <v>994</v>
      </c>
      <c r="D449" s="6" t="s">
        <v>69</v>
      </c>
      <c r="E449" s="6">
        <v>900</v>
      </c>
      <c r="F449" s="6" t="s">
        <v>1002</v>
      </c>
    </row>
    <row r="450" spans="1:6" x14ac:dyDescent="0.2">
      <c r="B450" s="1" t="s">
        <v>995</v>
      </c>
    </row>
    <row r="451" spans="1:6" x14ac:dyDescent="0.2">
      <c r="B451" s="1" t="s">
        <v>703</v>
      </c>
      <c r="D451" s="6" t="s">
        <v>69</v>
      </c>
      <c r="E451" s="842">
        <v>100</v>
      </c>
      <c r="F451" s="842" t="s">
        <v>1002</v>
      </c>
    </row>
    <row r="452" spans="1:6" x14ac:dyDescent="0.2">
      <c r="B452" s="1" t="s">
        <v>1003</v>
      </c>
      <c r="D452" s="6" t="s">
        <v>69</v>
      </c>
      <c r="E452" s="842"/>
      <c r="F452" s="842"/>
    </row>
    <row r="453" spans="1:6" x14ac:dyDescent="0.2">
      <c r="B453" s="1" t="s">
        <v>996</v>
      </c>
      <c r="D453" s="6" t="s">
        <v>69</v>
      </c>
    </row>
    <row r="454" spans="1:6" ht="17" thickBot="1" x14ac:dyDescent="0.25">
      <c r="B454" s="1" t="s">
        <v>997</v>
      </c>
      <c r="D454" s="6" t="s">
        <v>69</v>
      </c>
    </row>
    <row r="455" spans="1:6" ht="17" thickBot="1" x14ac:dyDescent="0.25">
      <c r="B455" s="1" t="s">
        <v>998</v>
      </c>
      <c r="D455" s="6" t="s">
        <v>999</v>
      </c>
      <c r="E455" s="167">
        <f>E449+E451</f>
        <v>1000</v>
      </c>
    </row>
    <row r="458" spans="1:6" x14ac:dyDescent="0.2">
      <c r="A458" s="166" t="s">
        <v>1004</v>
      </c>
    </row>
    <row r="459" spans="1:6" x14ac:dyDescent="0.2">
      <c r="B459" s="1" t="s">
        <v>976</v>
      </c>
    </row>
    <row r="460" spans="1:6" x14ac:dyDescent="0.2">
      <c r="B460" s="1" t="s">
        <v>977</v>
      </c>
    </row>
    <row r="461" spans="1:6" x14ac:dyDescent="0.2">
      <c r="B461" s="1" t="s">
        <v>978</v>
      </c>
    </row>
    <row r="462" spans="1:6" x14ac:dyDescent="0.2">
      <c r="B462" s="1" t="s">
        <v>979</v>
      </c>
    </row>
    <row r="464" spans="1:6" x14ac:dyDescent="0.2">
      <c r="B464" s="122" t="s">
        <v>1005</v>
      </c>
    </row>
    <row r="466" spans="1:7" x14ac:dyDescent="0.2">
      <c r="B466" s="1" t="s">
        <v>1006</v>
      </c>
      <c r="C466" s="41">
        <v>1000</v>
      </c>
      <c r="E466" s="6" t="s">
        <v>1015</v>
      </c>
      <c r="F466" s="6" t="s">
        <v>1014</v>
      </c>
      <c r="G466" s="6" t="s">
        <v>1020</v>
      </c>
    </row>
    <row r="467" spans="1:7" x14ac:dyDescent="0.2">
      <c r="B467" s="1" t="s">
        <v>1007</v>
      </c>
      <c r="C467" s="6">
        <v>10</v>
      </c>
      <c r="D467" s="6" t="s">
        <v>1008</v>
      </c>
    </row>
    <row r="468" spans="1:7" x14ac:dyDescent="0.2">
      <c r="B468" s="1" t="s">
        <v>1009</v>
      </c>
      <c r="C468" s="6" t="s">
        <v>1010</v>
      </c>
    </row>
    <row r="469" spans="1:7" x14ac:dyDescent="0.2">
      <c r="B469" s="1" t="s">
        <v>1011</v>
      </c>
      <c r="C469" s="6">
        <v>0</v>
      </c>
    </row>
    <row r="470" spans="1:7" x14ac:dyDescent="0.2">
      <c r="B470" s="1" t="s">
        <v>1012</v>
      </c>
      <c r="C470" s="6" t="s">
        <v>1013</v>
      </c>
      <c r="E470" s="168" t="s">
        <v>1021</v>
      </c>
    </row>
    <row r="471" spans="1:7" x14ac:dyDescent="0.2">
      <c r="E471" s="168" t="s">
        <v>1022</v>
      </c>
    </row>
    <row r="473" spans="1:7" x14ac:dyDescent="0.2">
      <c r="B473" s="1" t="s">
        <v>1016</v>
      </c>
    </row>
    <row r="474" spans="1:7" x14ac:dyDescent="0.2">
      <c r="B474" s="1" t="s">
        <v>1017</v>
      </c>
    </row>
    <row r="475" spans="1:7" x14ac:dyDescent="0.2">
      <c r="B475" s="1" t="s">
        <v>1018</v>
      </c>
    </row>
    <row r="476" spans="1:7" x14ac:dyDescent="0.2">
      <c r="B476" s="1" t="s">
        <v>1019</v>
      </c>
    </row>
    <row r="478" spans="1:7" x14ac:dyDescent="0.2">
      <c r="A478" s="166" t="s">
        <v>1023</v>
      </c>
    </row>
    <row r="480" spans="1:7" x14ac:dyDescent="0.2">
      <c r="A480" s="1" t="s">
        <v>1024</v>
      </c>
      <c r="B480" s="1" t="s">
        <v>980</v>
      </c>
    </row>
    <row r="481" spans="1:7" x14ac:dyDescent="0.2">
      <c r="B481" s="1" t="s">
        <v>981</v>
      </c>
    </row>
    <row r="482" spans="1:7" x14ac:dyDescent="0.2">
      <c r="B482" s="1" t="s">
        <v>982</v>
      </c>
    </row>
    <row r="484" spans="1:7" x14ac:dyDescent="0.2">
      <c r="A484" s="1" t="s">
        <v>864</v>
      </c>
      <c r="B484" s="1" t="s">
        <v>1025</v>
      </c>
    </row>
    <row r="485" spans="1:7" x14ac:dyDescent="0.2">
      <c r="B485" s="1" t="s">
        <v>1027</v>
      </c>
      <c r="E485" s="41">
        <v>20000</v>
      </c>
      <c r="F485" s="6" t="s">
        <v>1026</v>
      </c>
      <c r="G485" s="6" t="s">
        <v>824</v>
      </c>
    </row>
    <row r="486" spans="1:7" x14ac:dyDescent="0.2">
      <c r="E486" s="41"/>
    </row>
    <row r="487" spans="1:7" x14ac:dyDescent="0.2">
      <c r="B487" s="1" t="s">
        <v>1028</v>
      </c>
      <c r="F487" s="36" t="s">
        <v>1000</v>
      </c>
    </row>
    <row r="488" spans="1:7" x14ac:dyDescent="0.2">
      <c r="B488" s="1" t="s">
        <v>1029</v>
      </c>
      <c r="E488" s="6" t="s">
        <v>69</v>
      </c>
      <c r="F488" s="6">
        <v>30</v>
      </c>
    </row>
    <row r="489" spans="1:7" x14ac:dyDescent="0.2">
      <c r="B489" s="1" t="s">
        <v>2710</v>
      </c>
      <c r="E489" s="6" t="s">
        <v>70</v>
      </c>
      <c r="F489" s="6">
        <v>0</v>
      </c>
    </row>
    <row r="490" spans="1:7" ht="17" thickBot="1" x14ac:dyDescent="0.25">
      <c r="B490" s="1" t="s">
        <v>2711</v>
      </c>
      <c r="E490" s="6" t="s">
        <v>70</v>
      </c>
      <c r="F490" s="6">
        <v>-4</v>
      </c>
    </row>
    <row r="491" spans="1:7" ht="17" thickBot="1" x14ac:dyDescent="0.25">
      <c r="B491" s="1" t="s">
        <v>1030</v>
      </c>
      <c r="E491" s="6" t="s">
        <v>72</v>
      </c>
      <c r="F491" s="17">
        <f>F488+F489+F490</f>
        <v>26</v>
      </c>
    </row>
    <row r="493" spans="1:7" x14ac:dyDescent="0.2">
      <c r="B493" s="1" t="s">
        <v>1031</v>
      </c>
      <c r="D493" s="6">
        <v>20</v>
      </c>
    </row>
    <row r="494" spans="1:7" ht="17" thickBot="1" x14ac:dyDescent="0.25">
      <c r="B494" s="1" t="s">
        <v>1032</v>
      </c>
      <c r="D494" s="6">
        <v>26</v>
      </c>
    </row>
    <row r="495" spans="1:7" ht="17" thickBot="1" x14ac:dyDescent="0.25">
      <c r="B495" s="2" t="s">
        <v>1033</v>
      </c>
      <c r="C495" s="150"/>
      <c r="D495" s="170">
        <f>MIN(D493,D494)</f>
        <v>20</v>
      </c>
      <c r="F495" s="6" t="s">
        <v>1034</v>
      </c>
    </row>
    <row r="498" spans="1:6" x14ac:dyDescent="0.2">
      <c r="A498" s="166" t="s">
        <v>1038</v>
      </c>
    </row>
    <row r="499" spans="1:6" x14ac:dyDescent="0.2">
      <c r="A499" s="1" t="s">
        <v>1039</v>
      </c>
    </row>
    <row r="506" spans="1:6" ht="17" thickBot="1" x14ac:dyDescent="0.25">
      <c r="A506" s="1" t="s">
        <v>1040</v>
      </c>
    </row>
    <row r="507" spans="1:6" x14ac:dyDescent="0.2">
      <c r="B507" s="173" t="s">
        <v>1041</v>
      </c>
      <c r="C507" s="149"/>
      <c r="D507" s="165">
        <f>3095</f>
        <v>3095</v>
      </c>
    </row>
    <row r="508" spans="1:6" x14ac:dyDescent="0.2">
      <c r="B508" s="63" t="s">
        <v>72</v>
      </c>
      <c r="C508" s="62"/>
    </row>
    <row r="509" spans="1:6" ht="17" thickBot="1" x14ac:dyDescent="0.25">
      <c r="B509" s="174" t="s">
        <v>1042</v>
      </c>
      <c r="C509" s="175"/>
      <c r="E509" s="176"/>
      <c r="F509" s="177" t="s">
        <v>1044</v>
      </c>
    </row>
    <row r="511" spans="1:6" x14ac:dyDescent="0.2">
      <c r="E511" s="6" t="s">
        <v>1046</v>
      </c>
      <c r="F511" s="87" t="s">
        <v>1045</v>
      </c>
    </row>
    <row r="512" spans="1:6" x14ac:dyDescent="0.2">
      <c r="E512" s="6" t="s">
        <v>1047</v>
      </c>
      <c r="F512" s="87"/>
    </row>
    <row r="513" spans="1:8" x14ac:dyDescent="0.2">
      <c r="E513" s="6" t="s">
        <v>4</v>
      </c>
      <c r="F513" s="54" t="s">
        <v>7</v>
      </c>
    </row>
    <row r="514" spans="1:8" x14ac:dyDescent="0.2">
      <c r="E514" s="6" t="s">
        <v>1048</v>
      </c>
      <c r="F514" s="87"/>
    </row>
    <row r="515" spans="1:8" x14ac:dyDescent="0.2">
      <c r="E515" s="6" t="s">
        <v>5</v>
      </c>
    </row>
    <row r="517" spans="1:8" x14ac:dyDescent="0.2">
      <c r="B517" s="1" t="s">
        <v>1043</v>
      </c>
    </row>
    <row r="519" spans="1:8" x14ac:dyDescent="0.2">
      <c r="B519" s="1" t="s">
        <v>1049</v>
      </c>
    </row>
    <row r="520" spans="1:8" x14ac:dyDescent="0.2">
      <c r="D520" s="848" t="s">
        <v>1050</v>
      </c>
      <c r="E520" s="848"/>
      <c r="F520" s="848"/>
    </row>
    <row r="521" spans="1:8" x14ac:dyDescent="0.2">
      <c r="A521" s="110" t="s">
        <v>1052</v>
      </c>
      <c r="D521" s="178">
        <f>3095-370-30-407+355</f>
        <v>2643</v>
      </c>
      <c r="E521" s="6" t="s">
        <v>1051</v>
      </c>
    </row>
    <row r="523" spans="1:8" ht="17" thickBot="1" x14ac:dyDescent="0.25"/>
    <row r="524" spans="1:8" ht="24" thickBot="1" x14ac:dyDescent="0.3">
      <c r="A524" s="915" t="s">
        <v>1054</v>
      </c>
      <c r="B524" s="916"/>
      <c r="C524" s="916"/>
      <c r="D524" s="916"/>
      <c r="E524" s="916"/>
      <c r="F524" s="916"/>
      <c r="G524" s="916"/>
      <c r="H524" s="917"/>
    </row>
    <row r="525" spans="1:8" ht="17" thickBot="1" x14ac:dyDescent="0.25"/>
    <row r="526" spans="1:8" x14ac:dyDescent="0.2">
      <c r="A526" s="18" t="s">
        <v>1055</v>
      </c>
      <c r="B526" s="100"/>
      <c r="C526" s="179"/>
      <c r="D526" s="179"/>
      <c r="E526" s="179"/>
      <c r="F526" s="179"/>
      <c r="G526" s="179"/>
      <c r="H526" s="19"/>
    </row>
    <row r="527" spans="1:8" ht="17" thickBot="1" x14ac:dyDescent="0.25">
      <c r="A527" s="20" t="s">
        <v>1056</v>
      </c>
      <c r="B527" s="103"/>
      <c r="C527" s="158"/>
      <c r="D527" s="158"/>
      <c r="E527" s="158"/>
      <c r="F527" s="158"/>
      <c r="G527" s="158"/>
      <c r="H527" s="21"/>
    </row>
    <row r="528" spans="1:8" ht="17" thickBot="1" x14ac:dyDescent="0.25"/>
    <row r="529" spans="1:8" x14ac:dyDescent="0.2">
      <c r="A529" s="18" t="s">
        <v>1057</v>
      </c>
      <c r="B529" s="100"/>
      <c r="C529" s="179"/>
      <c r="D529" s="179"/>
      <c r="E529" s="179"/>
      <c r="F529" s="179"/>
      <c r="G529" s="179"/>
      <c r="H529" s="19"/>
    </row>
    <row r="530" spans="1:8" ht="17" thickBot="1" x14ac:dyDescent="0.25">
      <c r="A530" s="20" t="s">
        <v>1058</v>
      </c>
      <c r="B530" s="103"/>
      <c r="C530" s="158"/>
      <c r="D530" s="158"/>
      <c r="E530" s="158"/>
      <c r="F530" s="158"/>
      <c r="G530" s="158"/>
      <c r="H530" s="21"/>
    </row>
    <row r="531" spans="1:8" ht="17" thickBot="1" x14ac:dyDescent="0.25"/>
    <row r="532" spans="1:8" ht="17" thickBot="1" x14ac:dyDescent="0.25">
      <c r="A532" s="146" t="s">
        <v>1059</v>
      </c>
      <c r="B532" s="121"/>
      <c r="C532" s="171"/>
      <c r="D532" s="171"/>
      <c r="E532" s="171"/>
      <c r="F532" s="171"/>
      <c r="G532" s="171"/>
      <c r="H532" s="147"/>
    </row>
    <row r="534" spans="1:8" x14ac:dyDescent="0.2">
      <c r="A534" s="110" t="s">
        <v>1069</v>
      </c>
      <c r="B534" s="110"/>
      <c r="C534" s="145"/>
      <c r="D534" s="145"/>
      <c r="E534" s="145"/>
      <c r="F534" s="145"/>
      <c r="G534" s="145"/>
      <c r="H534" s="110"/>
    </row>
    <row r="535" spans="1:8" x14ac:dyDescent="0.2">
      <c r="A535" s="110" t="s">
        <v>1070</v>
      </c>
      <c r="B535" s="110"/>
      <c r="C535" s="145"/>
      <c r="D535" s="145"/>
      <c r="E535" s="145"/>
      <c r="F535" s="145"/>
      <c r="G535" s="145"/>
      <c r="H535" s="110"/>
    </row>
    <row r="536" spans="1:8" x14ac:dyDescent="0.2">
      <c r="A536" s="110" t="s">
        <v>1071</v>
      </c>
      <c r="B536" s="110"/>
      <c r="C536" s="145"/>
      <c r="D536" s="145"/>
      <c r="E536" s="145"/>
      <c r="F536" s="145"/>
      <c r="G536" s="145"/>
      <c r="H536" s="110"/>
    </row>
    <row r="537" spans="1:8" ht="17" thickBot="1" x14ac:dyDescent="0.25"/>
    <row r="538" spans="1:8" x14ac:dyDescent="0.2">
      <c r="A538" s="180" t="s">
        <v>1072</v>
      </c>
      <c r="B538" s="100"/>
      <c r="C538" s="179"/>
      <c r="D538" s="179"/>
      <c r="E538" s="179"/>
      <c r="F538" s="179"/>
      <c r="G538" s="179"/>
      <c r="H538" s="19"/>
    </row>
    <row r="539" spans="1:8" x14ac:dyDescent="0.2">
      <c r="A539" s="106" t="s">
        <v>1060</v>
      </c>
      <c r="H539" s="107"/>
    </row>
    <row r="540" spans="1:8" ht="17" thickBot="1" x14ac:dyDescent="0.25">
      <c r="A540" s="20" t="s">
        <v>1061</v>
      </c>
      <c r="B540" s="103"/>
      <c r="C540" s="158"/>
      <c r="D540" s="158"/>
      <c r="E540" s="158"/>
      <c r="F540" s="158"/>
      <c r="G540" s="158"/>
      <c r="H540" s="21"/>
    </row>
    <row r="541" spans="1:8" ht="17" thickBot="1" x14ac:dyDescent="0.25"/>
    <row r="542" spans="1:8" ht="17" thickBot="1" x14ac:dyDescent="0.25">
      <c r="A542" s="181" t="s">
        <v>1073</v>
      </c>
      <c r="B542" s="182"/>
      <c r="C542" s="183"/>
      <c r="D542" s="183"/>
      <c r="E542" s="183"/>
      <c r="F542" s="183"/>
      <c r="G542" s="183"/>
      <c r="H542" s="184"/>
    </row>
    <row r="544" spans="1:8" x14ac:dyDescent="0.2">
      <c r="A544" s="156" t="s">
        <v>275</v>
      </c>
      <c r="B544" s="1" t="s">
        <v>976</v>
      </c>
    </row>
    <row r="545" spans="1:8" x14ac:dyDescent="0.2">
      <c r="B545" s="1" t="s">
        <v>977</v>
      </c>
    </row>
    <row r="546" spans="1:8" x14ac:dyDescent="0.2">
      <c r="B546" s="1" t="s">
        <v>978</v>
      </c>
    </row>
    <row r="547" spans="1:8" x14ac:dyDescent="0.2">
      <c r="B547" s="1" t="s">
        <v>979</v>
      </c>
    </row>
    <row r="549" spans="1:8" x14ac:dyDescent="0.2">
      <c r="E549" s="36" t="s">
        <v>1000</v>
      </c>
    </row>
    <row r="550" spans="1:8" x14ac:dyDescent="0.2">
      <c r="B550" s="1" t="s">
        <v>2712</v>
      </c>
      <c r="E550" s="41">
        <v>1000</v>
      </c>
    </row>
    <row r="551" spans="1:8" x14ac:dyDescent="0.2">
      <c r="B551" s="1" t="s">
        <v>2713</v>
      </c>
      <c r="E551" s="6">
        <v>75</v>
      </c>
      <c r="H551" s="1" t="s">
        <v>2714</v>
      </c>
    </row>
    <row r="553" spans="1:8" x14ac:dyDescent="0.2">
      <c r="A553" s="1" t="s">
        <v>1074</v>
      </c>
      <c r="B553" s="1" t="s">
        <v>1075</v>
      </c>
    </row>
    <row r="554" spans="1:8" x14ac:dyDescent="0.2">
      <c r="B554" s="1" t="s">
        <v>1076</v>
      </c>
    </row>
    <row r="558" spans="1:8" x14ac:dyDescent="0.2">
      <c r="B558" s="1" t="s">
        <v>1077</v>
      </c>
    </row>
    <row r="559" spans="1:8" x14ac:dyDescent="0.2">
      <c r="C559" s="87" t="s">
        <v>677</v>
      </c>
    </row>
    <row r="560" spans="1:8" x14ac:dyDescent="0.2">
      <c r="C560" s="87" t="s">
        <v>1078</v>
      </c>
    </row>
    <row r="561" spans="1:8" x14ac:dyDescent="0.2">
      <c r="C561" s="87" t="s">
        <v>1079</v>
      </c>
    </row>
    <row r="563" spans="1:8" x14ac:dyDescent="0.2">
      <c r="A563" s="166" t="s">
        <v>2715</v>
      </c>
      <c r="B563" s="1" t="s">
        <v>2716</v>
      </c>
    </row>
    <row r="564" spans="1:8" x14ac:dyDescent="0.2">
      <c r="A564" s="166">
        <v>2020</v>
      </c>
      <c r="B564" s="1" t="s">
        <v>1084</v>
      </c>
    </row>
    <row r="565" spans="1:8" ht="17" thickBot="1" x14ac:dyDescent="0.25"/>
    <row r="566" spans="1:8" ht="51" x14ac:dyDescent="0.2">
      <c r="B566" s="180" t="s">
        <v>1083</v>
      </c>
      <c r="C566" s="460"/>
      <c r="D566" s="461"/>
      <c r="F566" s="36" t="s">
        <v>6</v>
      </c>
      <c r="G566" s="36" t="s">
        <v>7</v>
      </c>
      <c r="H566" s="185" t="s">
        <v>1080</v>
      </c>
    </row>
    <row r="567" spans="1:8" x14ac:dyDescent="0.2">
      <c r="B567" s="151" t="s">
        <v>1081</v>
      </c>
      <c r="C567" s="150"/>
      <c r="D567" s="462"/>
      <c r="E567" s="6" t="s">
        <v>153</v>
      </c>
      <c r="F567" s="6" t="s">
        <v>155</v>
      </c>
      <c r="G567" s="6" t="s">
        <v>156</v>
      </c>
      <c r="H567" s="6" t="s">
        <v>156</v>
      </c>
    </row>
    <row r="568" spans="1:8" ht="17" thickBot="1" x14ac:dyDescent="0.25">
      <c r="B568" s="153" t="s">
        <v>1082</v>
      </c>
      <c r="C568" s="164"/>
      <c r="D568" s="463"/>
      <c r="E568" s="6" t="s">
        <v>154</v>
      </c>
      <c r="F568" s="6" t="s">
        <v>156</v>
      </c>
      <c r="G568" s="6" t="s">
        <v>155</v>
      </c>
      <c r="H568" s="6" t="s">
        <v>155</v>
      </c>
    </row>
    <row r="570" spans="1:8" x14ac:dyDescent="0.2">
      <c r="B570" s="25" t="s">
        <v>1911</v>
      </c>
      <c r="C570" s="36"/>
      <c r="D570" s="36"/>
      <c r="F570" s="192" t="s">
        <v>3198</v>
      </c>
      <c r="G570" s="36"/>
      <c r="H570" s="25"/>
    </row>
    <row r="571" spans="1:8" x14ac:dyDescent="0.2">
      <c r="B571" s="1" t="s">
        <v>1912</v>
      </c>
      <c r="D571" s="6">
        <v>75</v>
      </c>
      <c r="F571" s="46" t="s">
        <v>693</v>
      </c>
      <c r="G571" s="169">
        <f>D572</f>
        <v>100</v>
      </c>
    </row>
    <row r="572" spans="1:8" x14ac:dyDescent="0.2">
      <c r="B572" s="1" t="s">
        <v>1913</v>
      </c>
      <c r="D572" s="6">
        <v>100</v>
      </c>
    </row>
    <row r="573" spans="1:8" x14ac:dyDescent="0.2">
      <c r="B573" s="110" t="s">
        <v>1914</v>
      </c>
      <c r="C573" s="145"/>
      <c r="D573" s="169">
        <f>D571+D572</f>
        <v>175</v>
      </c>
    </row>
    <row r="576" spans="1:8" x14ac:dyDescent="0.2">
      <c r="A576" s="156" t="s">
        <v>276</v>
      </c>
      <c r="B576" s="1" t="s">
        <v>980</v>
      </c>
    </row>
    <row r="577" spans="2:6" x14ac:dyDescent="0.2">
      <c r="B577" s="1" t="s">
        <v>981</v>
      </c>
    </row>
    <row r="578" spans="2:6" x14ac:dyDescent="0.2">
      <c r="B578" s="1" t="s">
        <v>982</v>
      </c>
    </row>
    <row r="580" spans="2:6" x14ac:dyDescent="0.2">
      <c r="B580" s="1" t="s">
        <v>2717</v>
      </c>
    </row>
    <row r="582" spans="2:6" x14ac:dyDescent="0.2">
      <c r="B582" s="1" t="s">
        <v>2718</v>
      </c>
    </row>
    <row r="583" spans="2:6" x14ac:dyDescent="0.2">
      <c r="B583" s="1" t="s">
        <v>2719</v>
      </c>
    </row>
    <row r="584" spans="2:6" x14ac:dyDescent="0.2">
      <c r="B584" s="1" t="s">
        <v>2720</v>
      </c>
    </row>
    <row r="587" spans="2:6" x14ac:dyDescent="0.2">
      <c r="C587" s="6" t="s">
        <v>1094</v>
      </c>
      <c r="F587" s="6" t="s">
        <v>1095</v>
      </c>
    </row>
    <row r="588" spans="2:6" x14ac:dyDescent="0.2">
      <c r="C588" s="6" t="s">
        <v>1090</v>
      </c>
      <c r="F588" s="6" t="s">
        <v>1096</v>
      </c>
    </row>
    <row r="589" spans="2:6" x14ac:dyDescent="0.2">
      <c r="C589" s="6" t="s">
        <v>1091</v>
      </c>
      <c r="F589" s="6" t="s">
        <v>1097</v>
      </c>
    </row>
    <row r="590" spans="2:6" x14ac:dyDescent="0.2">
      <c r="C590" s="6" t="s">
        <v>1092</v>
      </c>
    </row>
    <row r="591" spans="2:6" x14ac:dyDescent="0.2">
      <c r="C591" s="6" t="s">
        <v>1093</v>
      </c>
    </row>
    <row r="592" spans="2:6" x14ac:dyDescent="0.2">
      <c r="E592" s="87" t="s">
        <v>1098</v>
      </c>
    </row>
    <row r="593" spans="2:8" x14ac:dyDescent="0.2">
      <c r="E593" s="87" t="s">
        <v>1099</v>
      </c>
    </row>
    <row r="595" spans="2:8" x14ac:dyDescent="0.2">
      <c r="E595" s="87" t="s">
        <v>1100</v>
      </c>
    </row>
    <row r="596" spans="2:8" x14ac:dyDescent="0.2">
      <c r="E596" s="87" t="s">
        <v>1101</v>
      </c>
    </row>
    <row r="598" spans="2:8" x14ac:dyDescent="0.2">
      <c r="E598" s="87" t="s">
        <v>1102</v>
      </c>
    </row>
    <row r="599" spans="2:8" x14ac:dyDescent="0.2">
      <c r="E599" s="87" t="s">
        <v>1103</v>
      </c>
    </row>
    <row r="601" spans="2:8" x14ac:dyDescent="0.2">
      <c r="E601" s="87" t="s">
        <v>1105</v>
      </c>
      <c r="G601" s="6">
        <v>140</v>
      </c>
      <c r="H601" s="1" t="s">
        <v>1104</v>
      </c>
    </row>
    <row r="603" spans="2:8" x14ac:dyDescent="0.2">
      <c r="E603" s="87" t="s">
        <v>1106</v>
      </c>
    </row>
    <row r="604" spans="2:8" x14ac:dyDescent="0.2">
      <c r="E604" s="87" t="s">
        <v>1107</v>
      </c>
    </row>
    <row r="605" spans="2:8" x14ac:dyDescent="0.2">
      <c r="E605" s="87" t="s">
        <v>1108</v>
      </c>
    </row>
    <row r="607" spans="2:8" x14ac:dyDescent="0.2">
      <c r="B607" s="2" t="s">
        <v>2721</v>
      </c>
    </row>
    <row r="609" spans="1:7" x14ac:dyDescent="0.2">
      <c r="B609" s="144" t="s">
        <v>2722</v>
      </c>
    </row>
    <row r="610" spans="1:7" x14ac:dyDescent="0.2">
      <c r="B610" s="1" t="s">
        <v>3200</v>
      </c>
      <c r="E610" s="6">
        <v>30</v>
      </c>
      <c r="G610" s="87" t="s">
        <v>2723</v>
      </c>
    </row>
    <row r="611" spans="1:7" x14ac:dyDescent="0.2">
      <c r="B611" s="1" t="s">
        <v>3199</v>
      </c>
      <c r="E611" s="6">
        <f>E610</f>
        <v>30</v>
      </c>
      <c r="G611" s="87" t="s">
        <v>2724</v>
      </c>
    </row>
    <row r="612" spans="1:7" x14ac:dyDescent="0.2">
      <c r="B612" s="144"/>
    </row>
    <row r="613" spans="1:7" x14ac:dyDescent="0.2">
      <c r="B613" s="144" t="s">
        <v>2725</v>
      </c>
    </row>
    <row r="614" spans="1:7" x14ac:dyDescent="0.2">
      <c r="B614" s="1" t="s">
        <v>2726</v>
      </c>
      <c r="E614" s="6">
        <v>20</v>
      </c>
      <c r="G614" s="87" t="s">
        <v>2727</v>
      </c>
    </row>
    <row r="615" spans="1:7" x14ac:dyDescent="0.2">
      <c r="B615" s="1" t="s">
        <v>2728</v>
      </c>
      <c r="E615" s="6">
        <f>E614</f>
        <v>20</v>
      </c>
      <c r="G615" s="87" t="s">
        <v>2729</v>
      </c>
    </row>
    <row r="617" spans="1:7" x14ac:dyDescent="0.2">
      <c r="B617" s="2" t="s">
        <v>2730</v>
      </c>
    </row>
    <row r="618" spans="1:7" x14ac:dyDescent="0.2">
      <c r="B618" s="464" t="s">
        <v>2731</v>
      </c>
    </row>
    <row r="619" spans="1:7" x14ac:dyDescent="0.2">
      <c r="B619" s="464" t="s">
        <v>2732</v>
      </c>
    </row>
    <row r="621" spans="1:7" x14ac:dyDescent="0.2">
      <c r="A621" s="156" t="s">
        <v>279</v>
      </c>
      <c r="B621" s="1" t="s">
        <v>983</v>
      </c>
    </row>
    <row r="622" spans="1:7" x14ac:dyDescent="0.2">
      <c r="B622" s="1" t="s">
        <v>984</v>
      </c>
    </row>
    <row r="624" spans="1:7" x14ac:dyDescent="0.2">
      <c r="B624" s="1" t="s">
        <v>1109</v>
      </c>
    </row>
    <row r="625" spans="2:8" x14ac:dyDescent="0.2">
      <c r="B625" s="1" t="s">
        <v>1110</v>
      </c>
    </row>
    <row r="627" spans="2:8" x14ac:dyDescent="0.2">
      <c r="B627" s="1" t="s">
        <v>1111</v>
      </c>
    </row>
    <row r="629" spans="2:8" ht="51" x14ac:dyDescent="0.2">
      <c r="B629" s="2" t="s">
        <v>1119</v>
      </c>
      <c r="F629" s="36" t="s">
        <v>6</v>
      </c>
      <c r="G629" s="36" t="s">
        <v>7</v>
      </c>
      <c r="H629" s="185" t="s">
        <v>1080</v>
      </c>
    </row>
    <row r="630" spans="2:8" x14ac:dyDescent="0.2">
      <c r="B630" s="2" t="s">
        <v>1115</v>
      </c>
      <c r="E630" s="6" t="s">
        <v>153</v>
      </c>
      <c r="F630" s="6" t="s">
        <v>155</v>
      </c>
      <c r="G630" s="6" t="s">
        <v>156</v>
      </c>
      <c r="H630" s="6" t="s">
        <v>156</v>
      </c>
    </row>
    <row r="631" spans="2:8" x14ac:dyDescent="0.2">
      <c r="B631" s="2" t="s">
        <v>1114</v>
      </c>
      <c r="E631" s="6" t="s">
        <v>154</v>
      </c>
      <c r="F631" s="6" t="s">
        <v>156</v>
      </c>
      <c r="G631" s="6" t="s">
        <v>155</v>
      </c>
      <c r="H631" s="6" t="s">
        <v>155</v>
      </c>
    </row>
    <row r="633" spans="2:8" x14ac:dyDescent="0.2">
      <c r="B633" s="1" t="s">
        <v>1112</v>
      </c>
    </row>
    <row r="634" spans="2:8" x14ac:dyDescent="0.2">
      <c r="B634" s="1" t="s">
        <v>1113</v>
      </c>
    </row>
    <row r="636" spans="2:8" x14ac:dyDescent="0.2">
      <c r="B636" s="1" t="s">
        <v>1116</v>
      </c>
    </row>
    <row r="637" spans="2:8" x14ac:dyDescent="0.2">
      <c r="B637" s="1" t="s">
        <v>1117</v>
      </c>
    </row>
    <row r="638" spans="2:8" x14ac:dyDescent="0.2">
      <c r="B638" s="1" t="s">
        <v>1118</v>
      </c>
    </row>
    <row r="640" spans="2:8" x14ac:dyDescent="0.2">
      <c r="B640" s="1" t="s">
        <v>3201</v>
      </c>
      <c r="D640" s="6">
        <v>50</v>
      </c>
      <c r="E640" s="87"/>
      <c r="F640" s="87" t="s">
        <v>3204</v>
      </c>
      <c r="G640" s="87"/>
      <c r="H640" s="6">
        <v>400</v>
      </c>
    </row>
    <row r="641" spans="1:8" x14ac:dyDescent="0.2">
      <c r="B641" s="1" t="s">
        <v>3202</v>
      </c>
      <c r="D641" s="6">
        <v>22</v>
      </c>
      <c r="E641" s="87"/>
      <c r="F641" s="87" t="s">
        <v>3205</v>
      </c>
      <c r="G641" s="87"/>
      <c r="H641" s="6">
        <v>22</v>
      </c>
    </row>
    <row r="642" spans="1:8" x14ac:dyDescent="0.2">
      <c r="B642" s="110" t="s">
        <v>3203</v>
      </c>
      <c r="C642" s="145"/>
      <c r="D642" s="145">
        <f>D640+D641</f>
        <v>72</v>
      </c>
      <c r="E642" s="87"/>
      <c r="F642" s="168" t="s">
        <v>3206</v>
      </c>
      <c r="G642" s="87"/>
      <c r="H642" s="145">
        <v>422</v>
      </c>
    </row>
    <row r="644" spans="1:8" x14ac:dyDescent="0.2">
      <c r="A644" s="156" t="s">
        <v>280</v>
      </c>
      <c r="B644" s="1" t="s">
        <v>1137</v>
      </c>
    </row>
    <row r="645" spans="1:8" x14ac:dyDescent="0.2">
      <c r="B645" s="1" t="s">
        <v>986</v>
      </c>
    </row>
    <row r="646" spans="1:8" x14ac:dyDescent="0.2">
      <c r="B646" s="1" t="s">
        <v>987</v>
      </c>
    </row>
    <row r="648" spans="1:8" x14ac:dyDescent="0.2">
      <c r="F648" s="36" t="s">
        <v>1000</v>
      </c>
    </row>
    <row r="649" spans="1:8" x14ac:dyDescent="0.2">
      <c r="B649" s="1" t="s">
        <v>1121</v>
      </c>
      <c r="F649" s="6">
        <v>80</v>
      </c>
    </row>
    <row r="651" spans="1:8" x14ac:dyDescent="0.2">
      <c r="B651" s="1" t="s">
        <v>1122</v>
      </c>
    </row>
    <row r="652" spans="1:8" x14ac:dyDescent="0.2">
      <c r="B652" s="1" t="s">
        <v>1123</v>
      </c>
    </row>
    <row r="653" spans="1:8" x14ac:dyDescent="0.2">
      <c r="B653" s="1" t="s">
        <v>1124</v>
      </c>
    </row>
    <row r="654" spans="1:8" x14ac:dyDescent="0.2">
      <c r="B654" s="1" t="s">
        <v>1125</v>
      </c>
    </row>
    <row r="656" spans="1:8" x14ac:dyDescent="0.2">
      <c r="B656" s="1" t="s">
        <v>1126</v>
      </c>
    </row>
    <row r="657" spans="2:9" x14ac:dyDescent="0.2">
      <c r="B657" s="1" t="s">
        <v>1127</v>
      </c>
    </row>
    <row r="658" spans="2:9" x14ac:dyDescent="0.2">
      <c r="B658" s="1" t="s">
        <v>1128</v>
      </c>
      <c r="E658" s="6">
        <v>8</v>
      </c>
      <c r="F658" s="6" t="s">
        <v>1129</v>
      </c>
    </row>
    <row r="660" spans="2:9" x14ac:dyDescent="0.2">
      <c r="B660" s="1" t="s">
        <v>1131</v>
      </c>
    </row>
    <row r="661" spans="2:9" x14ac:dyDescent="0.2">
      <c r="E661" s="6">
        <v>16</v>
      </c>
      <c r="F661" s="6" t="s">
        <v>1130</v>
      </c>
    </row>
    <row r="663" spans="2:9" ht="51" x14ac:dyDescent="0.2">
      <c r="B663" s="2" t="s">
        <v>1132</v>
      </c>
      <c r="F663" s="36" t="s">
        <v>6</v>
      </c>
      <c r="G663" s="36" t="s">
        <v>7</v>
      </c>
      <c r="H663" s="185" t="s">
        <v>1080</v>
      </c>
    </row>
    <row r="664" spans="2:9" x14ac:dyDescent="0.2">
      <c r="B664" s="2" t="s">
        <v>1133</v>
      </c>
      <c r="E664" s="6" t="s">
        <v>153</v>
      </c>
      <c r="F664" s="6" t="s">
        <v>155</v>
      </c>
      <c r="G664" s="6" t="s">
        <v>156</v>
      </c>
      <c r="H664" s="6" t="s">
        <v>156</v>
      </c>
    </row>
    <row r="665" spans="2:9" x14ac:dyDescent="0.2">
      <c r="B665" s="2" t="s">
        <v>1134</v>
      </c>
      <c r="E665" s="6" t="s">
        <v>154</v>
      </c>
      <c r="F665" s="6" t="s">
        <v>156</v>
      </c>
      <c r="G665" s="6" t="s">
        <v>155</v>
      </c>
      <c r="H665" s="6" t="s">
        <v>155</v>
      </c>
    </row>
    <row r="667" spans="2:9" x14ac:dyDescent="0.2">
      <c r="B667" s="1" t="s">
        <v>1135</v>
      </c>
    </row>
    <row r="668" spans="2:9" x14ac:dyDescent="0.2">
      <c r="B668" s="1" t="s">
        <v>1136</v>
      </c>
    </row>
    <row r="670" spans="2:9" x14ac:dyDescent="0.2">
      <c r="B670" s="1" t="s">
        <v>3207</v>
      </c>
      <c r="D670" s="6">
        <v>80</v>
      </c>
      <c r="F670" s="87" t="s">
        <v>3210</v>
      </c>
    </row>
    <row r="671" spans="2:9" x14ac:dyDescent="0.2">
      <c r="B671" s="1" t="s">
        <v>3208</v>
      </c>
      <c r="D671" s="6">
        <v>16</v>
      </c>
      <c r="F671" s="168" t="s">
        <v>3211</v>
      </c>
      <c r="G671" s="168"/>
      <c r="H671" s="168"/>
      <c r="I671" s="168">
        <v>16</v>
      </c>
    </row>
    <row r="672" spans="2:9" x14ac:dyDescent="0.2">
      <c r="B672" s="110" t="s">
        <v>3209</v>
      </c>
      <c r="C672" s="145"/>
      <c r="D672" s="145">
        <f>D670+D671</f>
        <v>96</v>
      </c>
    </row>
    <row r="675" spans="1:7" x14ac:dyDescent="0.2">
      <c r="B675" s="1" t="s">
        <v>2733</v>
      </c>
    </row>
    <row r="676" spans="1:7" x14ac:dyDescent="0.2">
      <c r="A676" s="25" t="s">
        <v>9</v>
      </c>
      <c r="B676" s="25" t="s">
        <v>107</v>
      </c>
      <c r="C676" s="36" t="s">
        <v>6</v>
      </c>
      <c r="D676" s="36" t="s">
        <v>7</v>
      </c>
      <c r="E676" s="36" t="s">
        <v>124</v>
      </c>
      <c r="F676" s="36" t="s">
        <v>4</v>
      </c>
      <c r="G676" s="36" t="s">
        <v>5</v>
      </c>
    </row>
    <row r="677" spans="1:7" x14ac:dyDescent="0.2">
      <c r="A677" s="3" t="s">
        <v>133</v>
      </c>
      <c r="B677" s="3">
        <v>100</v>
      </c>
      <c r="C677" s="157">
        <v>100</v>
      </c>
    </row>
    <row r="678" spans="1:7" x14ac:dyDescent="0.2">
      <c r="A678" s="187" t="s">
        <v>14</v>
      </c>
      <c r="B678" s="187">
        <v>50</v>
      </c>
      <c r="C678" s="169">
        <f>50+22</f>
        <v>72</v>
      </c>
    </row>
    <row r="679" spans="1:7" x14ac:dyDescent="0.2">
      <c r="A679" s="110" t="s">
        <v>68</v>
      </c>
      <c r="B679" s="110">
        <v>400</v>
      </c>
      <c r="C679" s="145"/>
      <c r="D679" s="145"/>
      <c r="E679" s="145"/>
      <c r="F679" s="145">
        <f>400+22</f>
        <v>422</v>
      </c>
      <c r="G679" s="145"/>
    </row>
    <row r="680" spans="1:7" ht="34" x14ac:dyDescent="0.2">
      <c r="A680" s="31" t="s">
        <v>952</v>
      </c>
      <c r="B680" s="3">
        <v>300</v>
      </c>
      <c r="C680" s="157">
        <v>300</v>
      </c>
    </row>
    <row r="681" spans="1:7" x14ac:dyDescent="0.2">
      <c r="A681" s="1" t="s">
        <v>16</v>
      </c>
      <c r="B681" s="1">
        <v>70</v>
      </c>
      <c r="D681" s="6">
        <v>70</v>
      </c>
    </row>
    <row r="682" spans="1:7" ht="34" x14ac:dyDescent="0.2">
      <c r="A682" s="30" t="s">
        <v>953</v>
      </c>
      <c r="B682" s="1">
        <v>200</v>
      </c>
      <c r="D682" s="6">
        <v>200</v>
      </c>
    </row>
    <row r="683" spans="1:7" ht="34" x14ac:dyDescent="0.2">
      <c r="A683" s="30" t="s">
        <v>954</v>
      </c>
      <c r="B683" s="1">
        <v>100</v>
      </c>
      <c r="D683" s="6">
        <v>100</v>
      </c>
    </row>
    <row r="684" spans="1:7" x14ac:dyDescent="0.2">
      <c r="A684" s="1" t="s">
        <v>24</v>
      </c>
      <c r="B684" s="1">
        <v>30</v>
      </c>
      <c r="E684" s="6">
        <v>30</v>
      </c>
    </row>
    <row r="685" spans="1:7" x14ac:dyDescent="0.2">
      <c r="A685" s="1" t="s">
        <v>259</v>
      </c>
      <c r="B685" s="1">
        <v>220</v>
      </c>
      <c r="G685" s="6">
        <v>220</v>
      </c>
    </row>
    <row r="686" spans="1:7" x14ac:dyDescent="0.2">
      <c r="A686" s="1" t="s">
        <v>81</v>
      </c>
      <c r="B686" s="1">
        <v>30</v>
      </c>
      <c r="G686" s="6">
        <v>30</v>
      </c>
    </row>
    <row r="687" spans="1:7" x14ac:dyDescent="0.2">
      <c r="A687" s="1" t="s">
        <v>955</v>
      </c>
      <c r="B687" s="1" t="s">
        <v>26</v>
      </c>
      <c r="E687" s="6">
        <v>2643</v>
      </c>
    </row>
    <row r="688" spans="1:7" x14ac:dyDescent="0.2">
      <c r="A688" s="3" t="s">
        <v>1085</v>
      </c>
      <c r="B688" s="3" t="s">
        <v>26</v>
      </c>
      <c r="C688" s="157">
        <v>1000</v>
      </c>
    </row>
    <row r="689" spans="1:7" ht="51" x14ac:dyDescent="0.2">
      <c r="A689" s="188" t="s">
        <v>1120</v>
      </c>
      <c r="B689" s="187" t="s">
        <v>26</v>
      </c>
      <c r="C689" s="169">
        <f>-75-100</f>
        <v>-175</v>
      </c>
    </row>
    <row r="690" spans="1:7" x14ac:dyDescent="0.2">
      <c r="A690" s="1" t="s">
        <v>956</v>
      </c>
      <c r="B690" s="1">
        <v>14</v>
      </c>
      <c r="G690" s="6">
        <v>-14</v>
      </c>
    </row>
    <row r="691" spans="1:7" x14ac:dyDescent="0.2">
      <c r="A691" s="1" t="s">
        <v>1086</v>
      </c>
      <c r="B691" s="1">
        <v>15</v>
      </c>
      <c r="F691" s="6">
        <v>15</v>
      </c>
    </row>
    <row r="692" spans="1:7" ht="34" x14ac:dyDescent="0.2">
      <c r="A692" s="31" t="s">
        <v>957</v>
      </c>
      <c r="B692" s="3">
        <v>1000</v>
      </c>
      <c r="C692" s="157">
        <v>1000</v>
      </c>
    </row>
    <row r="693" spans="1:7" ht="34" x14ac:dyDescent="0.2">
      <c r="A693" s="31" t="s">
        <v>958</v>
      </c>
      <c r="B693" s="3">
        <v>450</v>
      </c>
      <c r="C693" s="157">
        <v>450</v>
      </c>
    </row>
    <row r="694" spans="1:7" x14ac:dyDescent="0.2">
      <c r="A694" s="3" t="s">
        <v>19</v>
      </c>
      <c r="B694" s="3">
        <v>250</v>
      </c>
      <c r="C694" s="157">
        <v>250</v>
      </c>
    </row>
    <row r="695" spans="1:7" x14ac:dyDescent="0.2">
      <c r="A695" s="1" t="s">
        <v>959</v>
      </c>
      <c r="B695" s="1">
        <v>10</v>
      </c>
      <c r="G695" s="6">
        <v>10</v>
      </c>
    </row>
    <row r="696" spans="1:7" x14ac:dyDescent="0.2">
      <c r="A696" s="1" t="s">
        <v>960</v>
      </c>
      <c r="B696" s="1">
        <v>12</v>
      </c>
      <c r="F696" s="6">
        <v>12</v>
      </c>
    </row>
    <row r="697" spans="1:7" ht="34" x14ac:dyDescent="0.2">
      <c r="A697" s="30" t="s">
        <v>961</v>
      </c>
      <c r="B697" s="1">
        <v>17</v>
      </c>
      <c r="G697" s="6">
        <v>17</v>
      </c>
    </row>
    <row r="698" spans="1:7" x14ac:dyDescent="0.2">
      <c r="A698" s="110" t="s">
        <v>962</v>
      </c>
      <c r="B698" s="110">
        <v>80</v>
      </c>
      <c r="C698" s="145"/>
      <c r="D698" s="145"/>
      <c r="E698" s="145"/>
      <c r="F698" s="145"/>
      <c r="G698" s="145">
        <f>80+16</f>
        <v>96</v>
      </c>
    </row>
    <row r="699" spans="1:7" x14ac:dyDescent="0.2">
      <c r="A699" s="1" t="s">
        <v>963</v>
      </c>
      <c r="B699" s="1">
        <v>11</v>
      </c>
      <c r="G699" s="6">
        <v>11</v>
      </c>
    </row>
    <row r="700" spans="1:7" x14ac:dyDescent="0.2">
      <c r="A700" s="1" t="s">
        <v>964</v>
      </c>
      <c r="B700" s="1">
        <v>7</v>
      </c>
      <c r="G700" s="6">
        <v>7</v>
      </c>
    </row>
    <row r="701" spans="1:7" ht="34" x14ac:dyDescent="0.2">
      <c r="A701" s="30" t="s">
        <v>965</v>
      </c>
      <c r="B701" s="1">
        <v>9</v>
      </c>
      <c r="G701" s="6">
        <v>9</v>
      </c>
    </row>
    <row r="702" spans="1:7" x14ac:dyDescent="0.2">
      <c r="A702" s="1" t="s">
        <v>966</v>
      </c>
      <c r="B702" s="1">
        <v>5</v>
      </c>
      <c r="G702" s="6">
        <v>5</v>
      </c>
    </row>
    <row r="703" spans="1:7" x14ac:dyDescent="0.2">
      <c r="A703" s="1" t="s">
        <v>967</v>
      </c>
      <c r="B703" s="1">
        <v>12</v>
      </c>
      <c r="F703" s="6">
        <v>-12</v>
      </c>
    </row>
    <row r="704" spans="1:7" x14ac:dyDescent="0.2">
      <c r="A704" s="1" t="s">
        <v>1087</v>
      </c>
      <c r="B704" s="1">
        <v>8</v>
      </c>
      <c r="F704" s="6">
        <v>-8</v>
      </c>
    </row>
    <row r="705" spans="1:8" ht="68" x14ac:dyDescent="0.2">
      <c r="A705" s="31" t="s">
        <v>1088</v>
      </c>
      <c r="B705" s="3" t="s">
        <v>26</v>
      </c>
      <c r="C705" s="157">
        <v>20</v>
      </c>
    </row>
    <row r="706" spans="1:8" x14ac:dyDescent="0.2">
      <c r="A706" s="1" t="s">
        <v>1089</v>
      </c>
      <c r="B706" s="1" t="s">
        <v>26</v>
      </c>
      <c r="G706" s="6">
        <v>-20</v>
      </c>
    </row>
    <row r="707" spans="1:8" x14ac:dyDescent="0.2">
      <c r="A707" s="110" t="s">
        <v>1915</v>
      </c>
      <c r="G707" s="145">
        <v>100</v>
      </c>
    </row>
    <row r="708" spans="1:8" ht="35" customHeight="1" x14ac:dyDescent="0.2">
      <c r="A708" s="919" t="s">
        <v>2734</v>
      </c>
      <c r="B708" s="919"/>
      <c r="D708" s="145">
        <v>16</v>
      </c>
    </row>
    <row r="709" spans="1:8" ht="17" thickBot="1" x14ac:dyDescent="0.25"/>
    <row r="710" spans="1:8" ht="24" thickBot="1" x14ac:dyDescent="0.3">
      <c r="A710" s="915" t="s">
        <v>1138</v>
      </c>
      <c r="B710" s="916"/>
      <c r="C710" s="916"/>
      <c r="D710" s="916"/>
      <c r="E710" s="916"/>
      <c r="F710" s="916"/>
      <c r="G710" s="916"/>
      <c r="H710" s="917"/>
    </row>
    <row r="712" spans="1:8" x14ac:dyDescent="0.2">
      <c r="A712" s="2" t="s">
        <v>1139</v>
      </c>
    </row>
    <row r="714" spans="1:8" s="2" customFormat="1" x14ac:dyDescent="0.2">
      <c r="A714" s="7" t="s">
        <v>6</v>
      </c>
      <c r="B714" s="7"/>
      <c r="C714" s="156"/>
      <c r="D714" s="150"/>
      <c r="E714" s="186" t="s">
        <v>1042</v>
      </c>
      <c r="F714" s="156"/>
      <c r="G714" s="156"/>
      <c r="H714" s="7"/>
    </row>
    <row r="716" spans="1:8" x14ac:dyDescent="0.2">
      <c r="A716" s="2" t="s">
        <v>1140</v>
      </c>
      <c r="C716" s="6" t="s">
        <v>1000</v>
      </c>
      <c r="E716" s="395" t="s">
        <v>1142</v>
      </c>
      <c r="F716" s="15"/>
      <c r="G716" s="15" t="s">
        <v>1000</v>
      </c>
    </row>
    <row r="717" spans="1:8" x14ac:dyDescent="0.2">
      <c r="A717" s="13" t="s">
        <v>133</v>
      </c>
      <c r="B717" s="13"/>
      <c r="C717" s="15">
        <v>100</v>
      </c>
      <c r="E717" s="259" t="s">
        <v>16</v>
      </c>
      <c r="F717" s="15"/>
      <c r="G717" s="15">
        <f>D681</f>
        <v>70</v>
      </c>
    </row>
    <row r="718" spans="1:8" x14ac:dyDescent="0.2">
      <c r="A718" s="13" t="s">
        <v>14</v>
      </c>
      <c r="B718" s="13"/>
      <c r="C718" s="15">
        <v>72</v>
      </c>
      <c r="E718" s="259" t="s">
        <v>1161</v>
      </c>
      <c r="F718" s="15"/>
      <c r="G718" s="15">
        <f>D708</f>
        <v>16</v>
      </c>
    </row>
    <row r="719" spans="1:8" ht="17" thickBot="1" x14ac:dyDescent="0.25">
      <c r="A719" s="13" t="s">
        <v>1144</v>
      </c>
      <c r="B719" s="13"/>
      <c r="C719" s="15">
        <v>300</v>
      </c>
      <c r="E719" s="259" t="s">
        <v>22</v>
      </c>
      <c r="F719" s="15"/>
      <c r="G719" s="15">
        <f>D682</f>
        <v>200</v>
      </c>
    </row>
    <row r="720" spans="1:8" ht="17" thickBot="1" x14ac:dyDescent="0.25">
      <c r="A720" s="13" t="s">
        <v>63</v>
      </c>
      <c r="B720" s="13"/>
      <c r="C720" s="15">
        <v>20</v>
      </c>
      <c r="E720" s="259" t="s">
        <v>1162</v>
      </c>
      <c r="F720" s="15"/>
      <c r="G720" s="465">
        <f>SUM(G717:G719)</f>
        <v>286</v>
      </c>
    </row>
    <row r="721" spans="1:7" ht="17" thickBot="1" x14ac:dyDescent="0.25">
      <c r="A721" s="13" t="s">
        <v>1145</v>
      </c>
      <c r="B721" s="13"/>
      <c r="C721" s="465">
        <f>SUM(C717:C720)</f>
        <v>492</v>
      </c>
      <c r="E721" s="15"/>
      <c r="F721" s="15"/>
      <c r="G721" s="15"/>
    </row>
    <row r="722" spans="1:7" x14ac:dyDescent="0.2">
      <c r="A722" s="13"/>
      <c r="B722" s="13"/>
      <c r="C722" s="15"/>
      <c r="E722" s="15"/>
      <c r="F722" s="15"/>
      <c r="G722" s="15"/>
    </row>
    <row r="723" spans="1:7" x14ac:dyDescent="0.2">
      <c r="A723" s="14" t="s">
        <v>1141</v>
      </c>
      <c r="B723" s="13"/>
      <c r="C723" s="15"/>
      <c r="E723" s="395" t="s">
        <v>1143</v>
      </c>
      <c r="F723" s="15"/>
      <c r="G723" s="15"/>
    </row>
    <row r="724" spans="1:7" ht="17" thickBot="1" x14ac:dyDescent="0.25">
      <c r="A724" s="13" t="s">
        <v>1146</v>
      </c>
      <c r="B724" s="13"/>
      <c r="C724" s="247">
        <f>D744</f>
        <v>825</v>
      </c>
      <c r="E724" s="259" t="s">
        <v>23</v>
      </c>
      <c r="F724" s="15"/>
      <c r="G724" s="15">
        <v>100</v>
      </c>
    </row>
    <row r="725" spans="1:7" ht="17" thickBot="1" x14ac:dyDescent="0.25">
      <c r="A725" s="13" t="s">
        <v>18</v>
      </c>
      <c r="B725" s="13"/>
      <c r="C725" s="247">
        <v>1000</v>
      </c>
      <c r="E725" s="259" t="s">
        <v>1163</v>
      </c>
      <c r="F725" s="15"/>
      <c r="G725" s="465">
        <f>G724</f>
        <v>100</v>
      </c>
    </row>
    <row r="726" spans="1:7" x14ac:dyDescent="0.2">
      <c r="A726" s="13" t="s">
        <v>1153</v>
      </c>
      <c r="B726" s="13"/>
      <c r="C726" s="15">
        <v>450</v>
      </c>
    </row>
    <row r="727" spans="1:7" ht="17" thickBot="1" x14ac:dyDescent="0.25">
      <c r="A727" s="13" t="s">
        <v>1154</v>
      </c>
      <c r="B727" s="13"/>
      <c r="C727" s="15">
        <v>250</v>
      </c>
      <c r="E727" s="395" t="s">
        <v>124</v>
      </c>
      <c r="F727" s="15"/>
      <c r="G727" s="15"/>
    </row>
    <row r="728" spans="1:7" ht="17" thickBot="1" x14ac:dyDescent="0.25">
      <c r="A728" s="13" t="s">
        <v>1159</v>
      </c>
      <c r="B728" s="13"/>
      <c r="C728" s="466">
        <v>2525</v>
      </c>
      <c r="E728" s="259" t="s">
        <v>24</v>
      </c>
      <c r="F728" s="15"/>
      <c r="G728" s="15">
        <v>30</v>
      </c>
    </row>
    <row r="729" spans="1:7" ht="17" thickBot="1" x14ac:dyDescent="0.25">
      <c r="A729" s="13"/>
      <c r="B729" s="13"/>
      <c r="C729" s="15"/>
      <c r="E729" s="259" t="s">
        <v>1165</v>
      </c>
      <c r="F729" s="15"/>
      <c r="G729" s="247">
        <f>E769</f>
        <v>2601</v>
      </c>
    </row>
    <row r="730" spans="1:7" ht="17" thickBot="1" x14ac:dyDescent="0.25">
      <c r="A730" s="13"/>
      <c r="B730" s="13"/>
      <c r="C730" s="15"/>
      <c r="E730" s="15" t="s">
        <v>1170</v>
      </c>
      <c r="F730" s="15"/>
      <c r="G730" s="466">
        <f>G728+G729</f>
        <v>2631</v>
      </c>
    </row>
    <row r="731" spans="1:7" x14ac:dyDescent="0.2">
      <c r="A731" s="13"/>
      <c r="B731" s="13"/>
      <c r="C731" s="15"/>
      <c r="E731" s="316"/>
      <c r="F731" s="316"/>
      <c r="G731" s="316"/>
    </row>
    <row r="732" spans="1:7" ht="17" thickBot="1" x14ac:dyDescent="0.25">
      <c r="A732" s="13"/>
      <c r="B732" s="13"/>
      <c r="C732" s="15"/>
    </row>
    <row r="733" spans="1:7" ht="17" thickBot="1" x14ac:dyDescent="0.25">
      <c r="A733" s="275" t="s">
        <v>1160</v>
      </c>
      <c r="B733" s="13"/>
      <c r="C733" s="467">
        <f>C721+C728</f>
        <v>3017</v>
      </c>
      <c r="E733" s="87" t="s">
        <v>1169</v>
      </c>
      <c r="G733" s="467">
        <f>C733</f>
        <v>3017</v>
      </c>
    </row>
    <row r="738" spans="1:4" x14ac:dyDescent="0.2">
      <c r="A738" s="1" t="s">
        <v>1147</v>
      </c>
    </row>
    <row r="740" spans="1:4" x14ac:dyDescent="0.2">
      <c r="A740" s="2" t="s">
        <v>1148</v>
      </c>
    </row>
    <row r="741" spans="1:4" x14ac:dyDescent="0.2">
      <c r="A741" s="1" t="s">
        <v>1149</v>
      </c>
    </row>
    <row r="742" spans="1:4" x14ac:dyDescent="0.2">
      <c r="B742" s="1" t="s">
        <v>1150</v>
      </c>
      <c r="D742" s="41">
        <v>1000</v>
      </c>
    </row>
    <row r="743" spans="1:4" ht="17" thickBot="1" x14ac:dyDescent="0.25">
      <c r="B743" s="1" t="s">
        <v>1151</v>
      </c>
      <c r="D743" s="44">
        <v>-175</v>
      </c>
    </row>
    <row r="744" spans="1:4" ht="17" thickBot="1" x14ac:dyDescent="0.25">
      <c r="B744" s="1" t="s">
        <v>1152</v>
      </c>
      <c r="D744" s="124">
        <f>D742+D743</f>
        <v>825</v>
      </c>
    </row>
    <row r="746" spans="1:4" x14ac:dyDescent="0.2">
      <c r="A746" s="2" t="s">
        <v>1155</v>
      </c>
    </row>
    <row r="747" spans="1:4" x14ac:dyDescent="0.2">
      <c r="A747" s="1" t="s">
        <v>1156</v>
      </c>
    </row>
    <row r="748" spans="1:4" x14ac:dyDescent="0.2">
      <c r="A748" s="1" t="s">
        <v>1157</v>
      </c>
    </row>
    <row r="749" spans="1:4" x14ac:dyDescent="0.2">
      <c r="A749" s="1" t="s">
        <v>1158</v>
      </c>
    </row>
    <row r="751" spans="1:4" x14ac:dyDescent="0.2">
      <c r="A751" s="2" t="s">
        <v>1166</v>
      </c>
    </row>
    <row r="752" spans="1:4" x14ac:dyDescent="0.2">
      <c r="A752" s="1" t="s">
        <v>1167</v>
      </c>
    </row>
    <row r="753" spans="1:8" x14ac:dyDescent="0.2">
      <c r="A753" s="1" t="s">
        <v>1168</v>
      </c>
    </row>
    <row r="755" spans="1:8" x14ac:dyDescent="0.2">
      <c r="A755" s="1" t="s">
        <v>1171</v>
      </c>
    </row>
    <row r="756" spans="1:8" x14ac:dyDescent="0.2">
      <c r="A756" s="1" t="s">
        <v>1172</v>
      </c>
    </row>
    <row r="758" spans="1:8" x14ac:dyDescent="0.2">
      <c r="B758" s="1" t="s">
        <v>1173</v>
      </c>
      <c r="C758" s="190">
        <v>3017</v>
      </c>
    </row>
    <row r="759" spans="1:8" x14ac:dyDescent="0.2">
      <c r="B759" s="1" t="s">
        <v>1174</v>
      </c>
      <c r="F759" s="165"/>
      <c r="G759" s="165" t="s">
        <v>1180</v>
      </c>
      <c r="H759" s="16"/>
    </row>
    <row r="762" spans="1:8" x14ac:dyDescent="0.2">
      <c r="E762" s="6" t="s">
        <v>1164</v>
      </c>
      <c r="F762" s="6" t="s">
        <v>24</v>
      </c>
      <c r="G762" s="6" t="s">
        <v>7</v>
      </c>
      <c r="H762" s="1" t="s">
        <v>7</v>
      </c>
    </row>
    <row r="763" spans="1:8" x14ac:dyDescent="0.2">
      <c r="E763" s="6" t="s">
        <v>1179</v>
      </c>
      <c r="F763" s="6" t="s">
        <v>1177</v>
      </c>
      <c r="G763" s="6" t="s">
        <v>1176</v>
      </c>
      <c r="H763" s="1" t="s">
        <v>1175</v>
      </c>
    </row>
    <row r="764" spans="1:8" x14ac:dyDescent="0.2">
      <c r="E764" s="6" t="s">
        <v>1177</v>
      </c>
      <c r="F764" s="6" t="s">
        <v>1178</v>
      </c>
    </row>
    <row r="765" spans="1:8" x14ac:dyDescent="0.2">
      <c r="E765" s="6" t="s">
        <v>1178</v>
      </c>
    </row>
    <row r="767" spans="1:8" x14ac:dyDescent="0.2">
      <c r="B767" s="1" t="s">
        <v>1181</v>
      </c>
    </row>
    <row r="768" spans="1:8" x14ac:dyDescent="0.2">
      <c r="F768" s="6" t="s">
        <v>1182</v>
      </c>
    </row>
    <row r="769" spans="1:10" x14ac:dyDescent="0.2">
      <c r="E769" s="41">
        <f>3017-30-100-286</f>
        <v>2601</v>
      </c>
      <c r="F769" s="6" t="s">
        <v>1183</v>
      </c>
    </row>
    <row r="772" spans="1:10" x14ac:dyDescent="0.2">
      <c r="A772" s="7" t="s">
        <v>1184</v>
      </c>
      <c r="B772" s="3"/>
      <c r="C772" s="157"/>
      <c r="D772" s="157"/>
    </row>
    <row r="774" spans="1:10" s="13" customFormat="1" x14ac:dyDescent="0.2">
      <c r="A774" s="13" t="s">
        <v>68</v>
      </c>
      <c r="C774" s="15">
        <f>D791</f>
        <v>402</v>
      </c>
      <c r="D774" s="15"/>
      <c r="E774" s="15"/>
      <c r="F774" s="15"/>
      <c r="G774" s="15"/>
    </row>
    <row r="775" spans="1:10" s="13" customFormat="1" ht="17" thickBot="1" x14ac:dyDescent="0.25">
      <c r="A775" s="13" t="s">
        <v>95</v>
      </c>
      <c r="C775" s="256">
        <f>-D802</f>
        <v>-216</v>
      </c>
      <c r="D775" s="15"/>
      <c r="E775" s="15"/>
      <c r="F775" s="15"/>
      <c r="G775" s="15"/>
    </row>
    <row r="776" spans="1:10" s="13" customFormat="1" ht="17" thickBot="1" x14ac:dyDescent="0.25">
      <c r="A776" s="13" t="s">
        <v>71</v>
      </c>
      <c r="C776" s="468">
        <f>C774+C775</f>
        <v>186</v>
      </c>
      <c r="D776" s="259" t="s">
        <v>1203</v>
      </c>
      <c r="E776" s="15"/>
      <c r="F776" s="15"/>
      <c r="G776" s="15"/>
      <c r="I776" s="469" t="s">
        <v>1232</v>
      </c>
    </row>
    <row r="777" spans="1:10" s="13" customFormat="1" x14ac:dyDescent="0.2">
      <c r="A777" s="13" t="s">
        <v>1185</v>
      </c>
      <c r="C777" s="256">
        <f>-D810</f>
        <v>-26</v>
      </c>
      <c r="D777" s="15"/>
      <c r="E777" s="15"/>
      <c r="F777" s="15"/>
      <c r="G777" s="15"/>
      <c r="I777" s="13" t="s">
        <v>955</v>
      </c>
      <c r="J777" s="13">
        <f>2643</f>
        <v>2643</v>
      </c>
    </row>
    <row r="778" spans="1:10" s="13" customFormat="1" ht="17" thickBot="1" x14ac:dyDescent="0.25">
      <c r="A778" s="13" t="s">
        <v>1186</v>
      </c>
      <c r="C778" s="256">
        <f>-G819</f>
        <v>-219</v>
      </c>
      <c r="D778" s="15"/>
      <c r="E778" s="15"/>
      <c r="F778" s="15"/>
      <c r="G778" s="15"/>
      <c r="I778" s="13" t="s">
        <v>1233</v>
      </c>
      <c r="J778" s="255">
        <v>-42</v>
      </c>
    </row>
    <row r="779" spans="1:10" s="13" customFormat="1" ht="17" thickBot="1" x14ac:dyDescent="0.25">
      <c r="A779" s="13" t="s">
        <v>1187</v>
      </c>
      <c r="C779" s="15">
        <v>0</v>
      </c>
      <c r="D779" s="15"/>
      <c r="E779" s="15"/>
      <c r="F779" s="15"/>
      <c r="G779" s="15"/>
      <c r="I779" s="13" t="s">
        <v>1234</v>
      </c>
      <c r="J779" s="469">
        <f>J777+J778</f>
        <v>2601</v>
      </c>
    </row>
    <row r="780" spans="1:10" s="13" customFormat="1" ht="17" thickBot="1" x14ac:dyDescent="0.25">
      <c r="A780" s="13" t="s">
        <v>1228</v>
      </c>
      <c r="C780" s="468">
        <f>C776+C777+C778+C779</f>
        <v>-59</v>
      </c>
      <c r="D780" s="15"/>
      <c r="E780" s="15"/>
      <c r="F780" s="15"/>
      <c r="G780" s="15"/>
    </row>
    <row r="781" spans="1:10" s="13" customFormat="1" x14ac:dyDescent="0.2">
      <c r="A781" s="13" t="s">
        <v>1188</v>
      </c>
      <c r="C781" s="256">
        <f>-G695</f>
        <v>-10</v>
      </c>
      <c r="D781" s="259" t="s">
        <v>1230</v>
      </c>
      <c r="E781" s="15"/>
      <c r="F781" s="15"/>
      <c r="G781" s="15"/>
    </row>
    <row r="782" spans="1:10" s="13" customFormat="1" ht="17" thickBot="1" x14ac:dyDescent="0.25">
      <c r="A782" s="13" t="s">
        <v>1189</v>
      </c>
      <c r="C782" s="15">
        <f>12+F691</f>
        <v>27</v>
      </c>
      <c r="D782" s="259" t="s">
        <v>1231</v>
      </c>
      <c r="E782" s="15"/>
      <c r="F782" s="15"/>
      <c r="G782" s="15"/>
    </row>
    <row r="783" spans="1:10" s="13" customFormat="1" ht="17" thickBot="1" x14ac:dyDescent="0.25">
      <c r="A783" s="13" t="s">
        <v>1229</v>
      </c>
      <c r="C783" s="468">
        <f>C780+C781+C782</f>
        <v>-42</v>
      </c>
      <c r="D783" s="15"/>
      <c r="E783" s="15"/>
      <c r="F783" s="15"/>
      <c r="G783" s="15"/>
    </row>
    <row r="785" spans="1:4" x14ac:dyDescent="0.2">
      <c r="A785" s="1" t="s">
        <v>630</v>
      </c>
    </row>
    <row r="786" spans="1:4" x14ac:dyDescent="0.2">
      <c r="A786" s="1" t="s">
        <v>1190</v>
      </c>
    </row>
    <row r="787" spans="1:4" x14ac:dyDescent="0.2">
      <c r="C787" s="36" t="s">
        <v>1194</v>
      </c>
      <c r="D787" s="36" t="s">
        <v>1195</v>
      </c>
    </row>
    <row r="788" spans="1:4" x14ac:dyDescent="0.2">
      <c r="A788" s="1" t="s">
        <v>1191</v>
      </c>
      <c r="C788" s="6" t="s">
        <v>69</v>
      </c>
      <c r="D788" s="6">
        <v>422</v>
      </c>
    </row>
    <row r="789" spans="1:4" x14ac:dyDescent="0.2">
      <c r="A789" s="1" t="s">
        <v>116</v>
      </c>
      <c r="C789" s="6" t="s">
        <v>70</v>
      </c>
      <c r="D789" s="44">
        <v>-12</v>
      </c>
    </row>
    <row r="790" spans="1:4" ht="17" thickBot="1" x14ac:dyDescent="0.25">
      <c r="A790" s="1" t="s">
        <v>1192</v>
      </c>
      <c r="C790" s="6" t="s">
        <v>70</v>
      </c>
      <c r="D790" s="44">
        <v>-8</v>
      </c>
    </row>
    <row r="791" spans="1:4" ht="17" thickBot="1" x14ac:dyDescent="0.25">
      <c r="A791" s="1" t="s">
        <v>1193</v>
      </c>
      <c r="C791" s="6" t="s">
        <v>72</v>
      </c>
      <c r="D791" s="17">
        <f>D788+D789+D790</f>
        <v>402</v>
      </c>
    </row>
    <row r="793" spans="1:4" x14ac:dyDescent="0.2">
      <c r="A793" s="1" t="s">
        <v>1196</v>
      </c>
    </row>
    <row r="794" spans="1:4" x14ac:dyDescent="0.2">
      <c r="A794" s="1" t="s">
        <v>1197</v>
      </c>
    </row>
    <row r="795" spans="1:4" x14ac:dyDescent="0.2">
      <c r="C795" s="36" t="s">
        <v>1194</v>
      </c>
      <c r="D795" s="36" t="s">
        <v>1195</v>
      </c>
    </row>
    <row r="796" spans="1:4" x14ac:dyDescent="0.2">
      <c r="A796" s="1" t="s">
        <v>1198</v>
      </c>
      <c r="C796" s="6" t="s">
        <v>69</v>
      </c>
      <c r="D796" s="44">
        <f>G686</f>
        <v>30</v>
      </c>
    </row>
    <row r="797" spans="1:4" x14ac:dyDescent="0.2">
      <c r="A797" s="1" t="s">
        <v>1199</v>
      </c>
      <c r="C797" s="6" t="s">
        <v>69</v>
      </c>
      <c r="D797" s="44">
        <f>G685</f>
        <v>220</v>
      </c>
    </row>
    <row r="798" spans="1:4" x14ac:dyDescent="0.2">
      <c r="A798" s="1" t="s">
        <v>1200</v>
      </c>
      <c r="C798" s="6" t="s">
        <v>69</v>
      </c>
      <c r="D798" s="44">
        <v>0</v>
      </c>
    </row>
    <row r="799" spans="1:4" x14ac:dyDescent="0.2">
      <c r="A799" s="1" t="s">
        <v>100</v>
      </c>
      <c r="C799" s="6" t="s">
        <v>70</v>
      </c>
      <c r="D799" s="44">
        <v>-14</v>
      </c>
    </row>
    <row r="800" spans="1:4" x14ac:dyDescent="0.2">
      <c r="A800" s="1" t="s">
        <v>101</v>
      </c>
      <c r="C800" s="6" t="s">
        <v>70</v>
      </c>
      <c r="D800" s="44">
        <v>0</v>
      </c>
    </row>
    <row r="801" spans="1:7" ht="17" thickBot="1" x14ac:dyDescent="0.25">
      <c r="A801" s="1" t="s">
        <v>1201</v>
      </c>
      <c r="C801" s="6" t="s">
        <v>70</v>
      </c>
      <c r="D801" s="44">
        <v>-20</v>
      </c>
    </row>
    <row r="802" spans="1:7" ht="17" thickBot="1" x14ac:dyDescent="0.25">
      <c r="A802" s="1" t="s">
        <v>1202</v>
      </c>
      <c r="C802" s="6" t="s">
        <v>72</v>
      </c>
      <c r="D802" s="140">
        <f>SUM(D796:D801)</f>
        <v>216</v>
      </c>
    </row>
    <row r="804" spans="1:7" x14ac:dyDescent="0.2">
      <c r="A804" s="1" t="s">
        <v>1204</v>
      </c>
    </row>
    <row r="805" spans="1:7" x14ac:dyDescent="0.2">
      <c r="A805" s="1" t="s">
        <v>1205</v>
      </c>
    </row>
    <row r="806" spans="1:7" x14ac:dyDescent="0.2">
      <c r="A806" s="1" t="s">
        <v>1206</v>
      </c>
    </row>
    <row r="807" spans="1:7" x14ac:dyDescent="0.2">
      <c r="D807" s="36" t="s">
        <v>1195</v>
      </c>
    </row>
    <row r="808" spans="1:7" x14ac:dyDescent="0.2">
      <c r="A808" s="1" t="s">
        <v>261</v>
      </c>
      <c r="D808" s="6">
        <v>17</v>
      </c>
    </row>
    <row r="809" spans="1:7" ht="17" thickBot="1" x14ac:dyDescent="0.25">
      <c r="A809" s="1" t="s">
        <v>1207</v>
      </c>
      <c r="D809" s="6">
        <v>9</v>
      </c>
    </row>
    <row r="810" spans="1:7" ht="17" thickBot="1" x14ac:dyDescent="0.25">
      <c r="A810" s="1" t="s">
        <v>1208</v>
      </c>
      <c r="D810" s="17">
        <f>D808+D809</f>
        <v>26</v>
      </c>
    </row>
    <row r="812" spans="1:7" x14ac:dyDescent="0.2">
      <c r="A812" s="1" t="s">
        <v>1209</v>
      </c>
    </row>
    <row r="813" spans="1:7" x14ac:dyDescent="0.2">
      <c r="A813" s="1" t="s">
        <v>1210</v>
      </c>
    </row>
    <row r="814" spans="1:7" x14ac:dyDescent="0.2">
      <c r="A814" s="1" t="s">
        <v>1211</v>
      </c>
      <c r="G814" s="6">
        <v>96</v>
      </c>
    </row>
    <row r="815" spans="1:7" x14ac:dyDescent="0.2">
      <c r="A815" s="1" t="s">
        <v>1212</v>
      </c>
      <c r="G815" s="6">
        <v>11</v>
      </c>
    </row>
    <row r="816" spans="1:7" x14ac:dyDescent="0.2">
      <c r="A816" s="1" t="s">
        <v>1213</v>
      </c>
      <c r="G816" s="6">
        <v>7</v>
      </c>
    </row>
    <row r="817" spans="1:7" x14ac:dyDescent="0.2">
      <c r="A817" s="1" t="s">
        <v>1214</v>
      </c>
      <c r="G817" s="6">
        <v>5</v>
      </c>
    </row>
    <row r="818" spans="1:7" ht="17" thickBot="1" x14ac:dyDescent="0.25">
      <c r="A818" s="1" t="s">
        <v>1215</v>
      </c>
      <c r="G818" s="6">
        <v>100</v>
      </c>
    </row>
    <row r="819" spans="1:7" ht="17" thickBot="1" x14ac:dyDescent="0.25">
      <c r="A819" s="1" t="s">
        <v>1216</v>
      </c>
      <c r="G819" s="17">
        <f>SUM(G814:G818)</f>
        <v>219</v>
      </c>
    </row>
    <row r="821" spans="1:7" x14ac:dyDescent="0.2">
      <c r="A821" s="1" t="s">
        <v>1217</v>
      </c>
    </row>
    <row r="822" spans="1:7" x14ac:dyDescent="0.2">
      <c r="A822" s="1" t="s">
        <v>1218</v>
      </c>
    </row>
    <row r="823" spans="1:7" x14ac:dyDescent="0.2">
      <c r="A823" s="1" t="s">
        <v>1219</v>
      </c>
    </row>
    <row r="824" spans="1:7" x14ac:dyDescent="0.2">
      <c r="A824" s="1" t="s">
        <v>1220</v>
      </c>
    </row>
    <row r="825" spans="1:7" x14ac:dyDescent="0.2">
      <c r="A825" s="1" t="s">
        <v>1221</v>
      </c>
    </row>
    <row r="826" spans="1:7" x14ac:dyDescent="0.2">
      <c r="A826" s="1" t="s">
        <v>1222</v>
      </c>
    </row>
    <row r="828" spans="1:7" x14ac:dyDescent="0.2">
      <c r="A828" s="1" t="s">
        <v>1223</v>
      </c>
    </row>
    <row r="829" spans="1:7" x14ac:dyDescent="0.2">
      <c r="A829" s="1" t="s">
        <v>1224</v>
      </c>
    </row>
    <row r="830" spans="1:7" x14ac:dyDescent="0.2">
      <c r="A830" s="1" t="s">
        <v>1225</v>
      </c>
    </row>
    <row r="831" spans="1:7" x14ac:dyDescent="0.2">
      <c r="A831" s="1" t="s">
        <v>1226</v>
      </c>
    </row>
    <row r="833" spans="1:10" x14ac:dyDescent="0.2">
      <c r="A833" s="1" t="s">
        <v>1227</v>
      </c>
    </row>
    <row r="835" spans="1:10" x14ac:dyDescent="0.2">
      <c r="A835" s="85" t="s">
        <v>2735</v>
      </c>
      <c r="B835" s="16"/>
      <c r="C835" s="165"/>
      <c r="D835" s="165"/>
      <c r="E835" s="165"/>
      <c r="F835" s="165"/>
      <c r="G835" s="165"/>
      <c r="H835" s="16"/>
    </row>
    <row r="837" spans="1:10" x14ac:dyDescent="0.2">
      <c r="A837" s="2" t="s">
        <v>2736</v>
      </c>
    </row>
    <row r="839" spans="1:10" x14ac:dyDescent="0.2">
      <c r="A839" s="539" t="s">
        <v>9</v>
      </c>
      <c r="B839" s="539" t="s">
        <v>107</v>
      </c>
      <c r="C839" s="540" t="s">
        <v>6</v>
      </c>
      <c r="D839" s="540" t="s">
        <v>7</v>
      </c>
      <c r="E839" s="540" t="s">
        <v>124</v>
      </c>
      <c r="F839" s="540" t="s">
        <v>4</v>
      </c>
      <c r="G839" s="540" t="s">
        <v>5</v>
      </c>
      <c r="H839" s="13"/>
      <c r="I839" s="13"/>
      <c r="J839" s="13"/>
    </row>
    <row r="840" spans="1:10" x14ac:dyDescent="0.2">
      <c r="A840" s="541" t="s">
        <v>1238</v>
      </c>
      <c r="B840" s="471">
        <v>500</v>
      </c>
      <c r="C840" s="15">
        <f>B840</f>
        <v>500</v>
      </c>
      <c r="D840" s="15"/>
      <c r="E840" s="15"/>
      <c r="F840" s="15"/>
      <c r="G840" s="15"/>
      <c r="H840" s="13"/>
      <c r="I840" s="13"/>
      <c r="J840" s="13"/>
    </row>
    <row r="841" spans="1:10" x14ac:dyDescent="0.2">
      <c r="A841" s="541" t="s">
        <v>1918</v>
      </c>
      <c r="B841" s="471">
        <v>40</v>
      </c>
      <c r="C841" s="15"/>
      <c r="D841" s="15"/>
      <c r="E841" s="15"/>
      <c r="F841" s="15"/>
      <c r="G841" s="15">
        <f>B841</f>
        <v>40</v>
      </c>
      <c r="H841" s="13"/>
      <c r="I841" s="13"/>
      <c r="J841" s="13"/>
    </row>
    <row r="842" spans="1:10" x14ac:dyDescent="0.2">
      <c r="A842" s="541" t="s">
        <v>14</v>
      </c>
      <c r="B842" s="471">
        <v>600</v>
      </c>
      <c r="C842" s="15">
        <f>B842</f>
        <v>600</v>
      </c>
      <c r="D842" s="15"/>
      <c r="E842" s="15"/>
      <c r="F842" s="15"/>
      <c r="G842" s="15"/>
      <c r="H842" s="13"/>
      <c r="I842" s="13"/>
      <c r="J842" s="13"/>
    </row>
    <row r="843" spans="1:10" x14ac:dyDescent="0.2">
      <c r="A843" s="541" t="s">
        <v>12</v>
      </c>
      <c r="B843" s="471">
        <v>150</v>
      </c>
      <c r="C843" s="15">
        <f>B843</f>
        <v>150</v>
      </c>
      <c r="D843" s="15"/>
      <c r="E843" s="15"/>
      <c r="F843" s="15"/>
      <c r="G843" s="15"/>
      <c r="H843" s="13"/>
      <c r="I843" s="13"/>
      <c r="J843" s="13" t="s">
        <v>975</v>
      </c>
    </row>
    <row r="844" spans="1:10" x14ac:dyDescent="0.2">
      <c r="A844" s="541" t="s">
        <v>68</v>
      </c>
      <c r="B844" s="471">
        <v>950</v>
      </c>
      <c r="C844" s="15"/>
      <c r="D844" s="15"/>
      <c r="E844" s="15"/>
      <c r="F844" s="15">
        <f>B844</f>
        <v>950</v>
      </c>
      <c r="G844" s="15"/>
      <c r="H844" s="13"/>
      <c r="I844" s="13"/>
      <c r="J844" s="13" t="s">
        <v>3212</v>
      </c>
    </row>
    <row r="845" spans="1:10" ht="17" x14ac:dyDescent="0.2">
      <c r="A845" s="470" t="s">
        <v>2062</v>
      </c>
      <c r="B845" s="471">
        <v>100</v>
      </c>
      <c r="C845" s="15">
        <f>B845</f>
        <v>100</v>
      </c>
      <c r="D845" s="15"/>
      <c r="E845" s="15"/>
      <c r="F845" s="15"/>
      <c r="G845" s="15"/>
      <c r="H845" s="13"/>
      <c r="I845" s="13"/>
      <c r="J845" s="13" t="s">
        <v>3213</v>
      </c>
    </row>
    <row r="846" spans="1:10" x14ac:dyDescent="0.2">
      <c r="A846" s="541" t="s">
        <v>16</v>
      </c>
      <c r="B846" s="471">
        <v>70</v>
      </c>
      <c r="C846" s="15"/>
      <c r="D846" s="15">
        <f>B846</f>
        <v>70</v>
      </c>
      <c r="E846" s="15"/>
      <c r="F846" s="15"/>
      <c r="G846" s="15"/>
      <c r="H846" s="13"/>
      <c r="I846" s="13"/>
      <c r="J846" s="13"/>
    </row>
    <row r="847" spans="1:10" ht="17" x14ac:dyDescent="0.2">
      <c r="A847" s="470" t="s">
        <v>2063</v>
      </c>
      <c r="B847" s="471">
        <v>15</v>
      </c>
      <c r="C847" s="15"/>
      <c r="D847" s="15">
        <f>B847</f>
        <v>15</v>
      </c>
      <c r="E847" s="15"/>
      <c r="F847" s="15"/>
      <c r="G847" s="15"/>
      <c r="H847" s="13"/>
      <c r="I847" s="13"/>
      <c r="J847" s="13" t="s">
        <v>3214</v>
      </c>
    </row>
    <row r="848" spans="1:10" ht="17" x14ac:dyDescent="0.2">
      <c r="A848" s="470" t="s">
        <v>22</v>
      </c>
      <c r="B848" s="471">
        <v>180</v>
      </c>
      <c r="C848" s="15"/>
      <c r="D848" s="15">
        <f>B848</f>
        <v>180</v>
      </c>
      <c r="E848" s="15"/>
      <c r="F848" s="15"/>
      <c r="G848" s="15"/>
      <c r="H848" s="13"/>
      <c r="I848" s="13"/>
      <c r="J848" s="13"/>
    </row>
    <row r="849" spans="1:10" x14ac:dyDescent="0.2">
      <c r="A849" s="541" t="s">
        <v>24</v>
      </c>
      <c r="B849" s="471">
        <v>100</v>
      </c>
      <c r="C849" s="15"/>
      <c r="D849" s="15"/>
      <c r="E849" s="15">
        <f>B849</f>
        <v>100</v>
      </c>
      <c r="F849" s="15"/>
      <c r="G849" s="15"/>
      <c r="H849" s="13"/>
      <c r="I849" s="13"/>
      <c r="J849" s="13" t="s">
        <v>3215</v>
      </c>
    </row>
    <row r="850" spans="1:10" x14ac:dyDescent="0.2">
      <c r="A850" s="541" t="s">
        <v>259</v>
      </c>
      <c r="B850" s="471">
        <v>300</v>
      </c>
      <c r="C850" s="15"/>
      <c r="D850" s="15"/>
      <c r="E850" s="15"/>
      <c r="F850" s="15"/>
      <c r="G850" s="15">
        <f>B850</f>
        <v>300</v>
      </c>
      <c r="H850" s="13"/>
      <c r="I850" s="13"/>
      <c r="J850" s="13" t="s">
        <v>3216</v>
      </c>
    </row>
    <row r="851" spans="1:10" x14ac:dyDescent="0.2">
      <c r="A851" s="541" t="s">
        <v>1278</v>
      </c>
      <c r="B851" s="471">
        <v>60</v>
      </c>
      <c r="C851" s="15"/>
      <c r="D851" s="15"/>
      <c r="E851" s="15"/>
      <c r="F851" s="15"/>
      <c r="G851" s="15">
        <f>B851</f>
        <v>60</v>
      </c>
      <c r="H851" s="13"/>
      <c r="I851" s="13"/>
      <c r="J851" s="13"/>
    </row>
    <row r="852" spans="1:10" x14ac:dyDescent="0.2">
      <c r="A852" s="541" t="s">
        <v>1297</v>
      </c>
      <c r="B852" s="471" t="s">
        <v>26</v>
      </c>
      <c r="C852" s="15"/>
      <c r="D852" s="15"/>
      <c r="E852" s="542" t="s">
        <v>2763</v>
      </c>
      <c r="F852" s="15"/>
      <c r="G852" s="15"/>
      <c r="H852" s="13"/>
      <c r="I852" s="13"/>
      <c r="J852" s="13"/>
    </row>
    <row r="853" spans="1:10" ht="17" x14ac:dyDescent="0.2">
      <c r="A853" s="470" t="s">
        <v>1241</v>
      </c>
      <c r="B853" s="471">
        <v>400</v>
      </c>
      <c r="C853" s="15">
        <f>B853</f>
        <v>400</v>
      </c>
      <c r="D853" s="15"/>
      <c r="E853" s="15"/>
      <c r="F853" s="15"/>
      <c r="G853" s="15"/>
      <c r="H853" s="13"/>
      <c r="I853" s="13"/>
      <c r="J853" s="13"/>
    </row>
    <row r="854" spans="1:10" ht="17" x14ac:dyDescent="0.2">
      <c r="A854" s="470" t="s">
        <v>3217</v>
      </c>
      <c r="B854" s="471" t="s">
        <v>26</v>
      </c>
      <c r="C854" s="543">
        <f>-B889</f>
        <v>-37.5</v>
      </c>
      <c r="D854" s="15"/>
      <c r="E854" s="15"/>
      <c r="F854" s="15"/>
      <c r="G854" s="15"/>
      <c r="H854" s="13"/>
      <c r="I854" s="13"/>
      <c r="J854" s="13"/>
    </row>
    <row r="855" spans="1:10" ht="17" x14ac:dyDescent="0.2">
      <c r="A855" s="470" t="s">
        <v>109</v>
      </c>
      <c r="B855" s="471">
        <v>15</v>
      </c>
      <c r="C855" s="15"/>
      <c r="D855" s="15"/>
      <c r="E855" s="15"/>
      <c r="F855" s="15">
        <f>B855</f>
        <v>15</v>
      </c>
      <c r="G855" s="15"/>
      <c r="H855" s="13"/>
      <c r="I855" s="13"/>
      <c r="J855" s="13"/>
    </row>
    <row r="856" spans="1:10" ht="17" x14ac:dyDescent="0.2">
      <c r="A856" s="470" t="s">
        <v>1246</v>
      </c>
      <c r="B856" s="471">
        <v>80</v>
      </c>
      <c r="C856" s="15">
        <f>B856</f>
        <v>80</v>
      </c>
      <c r="D856" s="15"/>
      <c r="E856" s="15"/>
      <c r="F856" s="15"/>
      <c r="G856" s="15"/>
      <c r="H856" s="13"/>
      <c r="I856" s="13"/>
      <c r="J856" s="13"/>
    </row>
    <row r="857" spans="1:10" ht="17" x14ac:dyDescent="0.2">
      <c r="A857" s="470" t="s">
        <v>1920</v>
      </c>
      <c r="B857" s="471">
        <v>95</v>
      </c>
      <c r="C857" s="15">
        <f>B857</f>
        <v>95</v>
      </c>
      <c r="D857" s="15"/>
      <c r="E857" s="15"/>
      <c r="F857" s="15"/>
      <c r="G857" s="15"/>
      <c r="H857" s="13"/>
      <c r="I857" s="13"/>
      <c r="J857" s="13"/>
    </row>
    <row r="858" spans="1:10" x14ac:dyDescent="0.2">
      <c r="A858" s="541" t="s">
        <v>23</v>
      </c>
      <c r="B858" s="471">
        <v>100</v>
      </c>
      <c r="C858" s="15"/>
      <c r="D858" s="15">
        <f>B858</f>
        <v>100</v>
      </c>
      <c r="E858" s="15"/>
      <c r="F858" s="15"/>
      <c r="G858" s="15"/>
      <c r="H858" s="13"/>
      <c r="I858" s="13"/>
      <c r="J858" s="13"/>
    </row>
    <row r="859" spans="1:10" ht="17" x14ac:dyDescent="0.2">
      <c r="A859" s="470" t="s">
        <v>258</v>
      </c>
      <c r="B859" s="471">
        <v>75</v>
      </c>
      <c r="C859" s="15"/>
      <c r="D859" s="15"/>
      <c r="E859" s="15"/>
      <c r="F859" s="15"/>
      <c r="G859" s="15">
        <f>B859</f>
        <v>75</v>
      </c>
      <c r="H859" s="13"/>
      <c r="I859" s="13"/>
      <c r="J859" s="13"/>
    </row>
    <row r="860" spans="1:10" ht="17" x14ac:dyDescent="0.2">
      <c r="A860" s="470" t="s">
        <v>1250</v>
      </c>
      <c r="B860" s="471">
        <v>20</v>
      </c>
      <c r="C860" s="15"/>
      <c r="D860" s="15"/>
      <c r="E860" s="15"/>
      <c r="F860" s="15">
        <f>B860</f>
        <v>20</v>
      </c>
      <c r="G860" s="15"/>
      <c r="H860" s="13"/>
      <c r="I860" s="13"/>
      <c r="J860" s="13"/>
    </row>
    <row r="861" spans="1:10" ht="17" x14ac:dyDescent="0.2">
      <c r="A861" s="470" t="s">
        <v>1921</v>
      </c>
      <c r="B861" s="471">
        <v>45</v>
      </c>
      <c r="C861" s="15"/>
      <c r="D861" s="15"/>
      <c r="E861" s="15"/>
      <c r="F861" s="15"/>
      <c r="G861" s="15">
        <f>B861</f>
        <v>45</v>
      </c>
      <c r="H861" s="13"/>
      <c r="I861" s="13"/>
      <c r="J861" s="13"/>
    </row>
    <row r="862" spans="1:10" ht="17" x14ac:dyDescent="0.2">
      <c r="A862" s="470" t="s">
        <v>1252</v>
      </c>
      <c r="B862" s="471">
        <v>62</v>
      </c>
      <c r="C862" s="15"/>
      <c r="D862" s="15"/>
      <c r="E862" s="15"/>
      <c r="F862" s="15"/>
      <c r="G862" s="15">
        <f>B862</f>
        <v>62</v>
      </c>
      <c r="H862" s="13"/>
      <c r="I862" s="13"/>
      <c r="J862" s="13"/>
    </row>
    <row r="863" spans="1:10" ht="17" x14ac:dyDescent="0.2">
      <c r="A863" s="470" t="s">
        <v>1253</v>
      </c>
      <c r="B863" s="471">
        <v>93</v>
      </c>
      <c r="C863" s="15"/>
      <c r="D863" s="15"/>
      <c r="E863" s="15"/>
      <c r="F863" s="15"/>
      <c r="G863" s="15">
        <f>B863</f>
        <v>93</v>
      </c>
      <c r="H863" s="13"/>
      <c r="I863" s="13"/>
      <c r="J863" s="13"/>
    </row>
    <row r="864" spans="1:10" ht="17" x14ac:dyDescent="0.2">
      <c r="A864" s="470" t="s">
        <v>260</v>
      </c>
      <c r="B864" s="471">
        <v>14</v>
      </c>
      <c r="C864" s="15"/>
      <c r="D864" s="15"/>
      <c r="E864" s="15"/>
      <c r="F864" s="15"/>
      <c r="G864" s="15">
        <f>B864</f>
        <v>14</v>
      </c>
      <c r="H864" s="13"/>
      <c r="I864" s="13"/>
      <c r="J864" s="13"/>
    </row>
    <row r="865" spans="1:10" ht="17" x14ac:dyDescent="0.2">
      <c r="A865" s="470" t="s">
        <v>1922</v>
      </c>
      <c r="B865" s="471">
        <v>20</v>
      </c>
      <c r="C865" s="15"/>
      <c r="D865" s="15"/>
      <c r="E865" s="15"/>
      <c r="F865" s="15"/>
      <c r="G865" s="15">
        <f>B865</f>
        <v>20</v>
      </c>
      <c r="H865" s="13"/>
      <c r="I865" s="13"/>
      <c r="J865" s="13"/>
    </row>
    <row r="866" spans="1:10" ht="17" x14ac:dyDescent="0.2">
      <c r="A866" s="470" t="s">
        <v>3218</v>
      </c>
      <c r="B866" s="471" t="s">
        <v>26</v>
      </c>
      <c r="C866" s="544">
        <f>B897</f>
        <v>120</v>
      </c>
      <c r="D866" s="15"/>
      <c r="E866" s="15"/>
      <c r="F866" s="15"/>
      <c r="G866" s="15"/>
      <c r="H866" s="13"/>
      <c r="I866" s="13"/>
      <c r="J866" s="13"/>
    </row>
    <row r="867" spans="1:10" ht="17" x14ac:dyDescent="0.2">
      <c r="A867" s="470" t="s">
        <v>1256</v>
      </c>
      <c r="B867" s="471" t="s">
        <v>26</v>
      </c>
      <c r="C867" s="15"/>
      <c r="D867" s="15"/>
      <c r="E867" s="15"/>
      <c r="F867" s="15"/>
      <c r="G867" s="544">
        <f>-C866</f>
        <v>-120</v>
      </c>
      <c r="H867" s="13"/>
      <c r="I867" s="13"/>
      <c r="J867" s="13"/>
    </row>
    <row r="868" spans="1:10" x14ac:dyDescent="0.2">
      <c r="A868" s="13" t="s">
        <v>272</v>
      </c>
      <c r="B868" s="13"/>
      <c r="C868" s="545">
        <f>SUM(C840:C867)</f>
        <v>2007.5</v>
      </c>
      <c r="D868" s="546">
        <f t="shared" ref="D868:G868" si="4">SUM(D840:D867)</f>
        <v>365</v>
      </c>
      <c r="E868" s="546" t="s">
        <v>2755</v>
      </c>
      <c r="F868" s="546">
        <f t="shared" si="4"/>
        <v>985</v>
      </c>
      <c r="G868" s="546">
        <f t="shared" si="4"/>
        <v>589</v>
      </c>
      <c r="H868" s="13"/>
      <c r="I868" s="13"/>
      <c r="J868" s="13"/>
    </row>
    <row r="869" spans="1:10" x14ac:dyDescent="0.2">
      <c r="A869" s="13"/>
      <c r="B869" s="13"/>
      <c r="C869" s="540" t="s">
        <v>6</v>
      </c>
      <c r="D869" s="540" t="s">
        <v>7</v>
      </c>
      <c r="E869" s="540" t="s">
        <v>124</v>
      </c>
      <c r="F869" s="540" t="s">
        <v>4</v>
      </c>
      <c r="G869" s="540" t="s">
        <v>5</v>
      </c>
      <c r="H869" s="13"/>
      <c r="I869" s="13"/>
      <c r="J869" s="13"/>
    </row>
    <row r="870" spans="1:10" x14ac:dyDescent="0.2">
      <c r="A870" s="13"/>
      <c r="B870" s="13"/>
      <c r="C870" s="15"/>
      <c r="D870" s="15"/>
      <c r="E870" s="15"/>
      <c r="F870" s="15"/>
      <c r="G870" s="15"/>
      <c r="H870" s="13"/>
      <c r="I870" s="13"/>
      <c r="J870" s="13"/>
    </row>
    <row r="871" spans="1:10" x14ac:dyDescent="0.2">
      <c r="A871" s="13"/>
      <c r="B871" s="13" t="s">
        <v>2756</v>
      </c>
      <c r="C871" s="15"/>
      <c r="D871" s="15"/>
      <c r="E871" s="15"/>
      <c r="F871" s="15"/>
      <c r="G871" s="15"/>
      <c r="H871" s="13"/>
      <c r="I871" s="13"/>
      <c r="J871" s="13"/>
    </row>
    <row r="872" spans="1:10" x14ac:dyDescent="0.2">
      <c r="A872" s="13"/>
      <c r="B872" s="13"/>
      <c r="C872" s="876" t="s">
        <v>2757</v>
      </c>
      <c r="D872" s="876"/>
      <c r="E872" s="876"/>
      <c r="F872" s="876"/>
      <c r="G872" s="876"/>
      <c r="H872" s="13"/>
      <c r="I872" s="13"/>
      <c r="J872" s="13"/>
    </row>
    <row r="873" spans="1:10" x14ac:dyDescent="0.2">
      <c r="A873" s="13"/>
      <c r="B873" s="13"/>
      <c r="C873" s="15"/>
      <c r="D873" s="15"/>
      <c r="E873" s="15"/>
      <c r="F873" s="15"/>
      <c r="G873" s="15"/>
      <c r="H873" s="13"/>
      <c r="I873" s="13"/>
      <c r="J873" s="13"/>
    </row>
    <row r="874" spans="1:10" x14ac:dyDescent="0.2">
      <c r="A874" s="13"/>
      <c r="B874" s="13"/>
      <c r="C874" s="15"/>
      <c r="D874" s="15"/>
      <c r="E874" s="15"/>
      <c r="F874" s="15"/>
      <c r="G874" s="15"/>
      <c r="H874" s="13"/>
      <c r="I874" s="13"/>
      <c r="J874" s="13"/>
    </row>
    <row r="875" spans="1:10" x14ac:dyDescent="0.2">
      <c r="A875" s="13"/>
      <c r="B875" s="13"/>
      <c r="C875" s="15" t="s">
        <v>2759</v>
      </c>
      <c r="D875" s="876" t="s">
        <v>2758</v>
      </c>
      <c r="E875" s="876"/>
      <c r="F875" s="15" t="s">
        <v>7</v>
      </c>
      <c r="G875" s="15" t="s">
        <v>6</v>
      </c>
      <c r="H875" s="13"/>
      <c r="I875" s="13"/>
      <c r="J875" s="13"/>
    </row>
    <row r="876" spans="1:10" x14ac:dyDescent="0.2">
      <c r="A876" s="13"/>
      <c r="B876" s="13"/>
      <c r="C876" s="15" t="s">
        <v>2760</v>
      </c>
      <c r="D876" s="15"/>
      <c r="E876" s="15"/>
      <c r="F876" s="15"/>
      <c r="G876" s="15"/>
      <c r="H876" s="13"/>
      <c r="I876" s="13"/>
      <c r="J876" s="13"/>
    </row>
    <row r="877" spans="1:10" x14ac:dyDescent="0.2">
      <c r="A877" s="13"/>
      <c r="B877" s="13"/>
      <c r="C877" s="15" t="s">
        <v>2761</v>
      </c>
      <c r="D877" s="15"/>
      <c r="E877" s="15"/>
      <c r="F877" s="15"/>
      <c r="G877" s="15"/>
      <c r="H877" s="13"/>
      <c r="I877" s="13"/>
      <c r="J877" s="13"/>
    </row>
    <row r="878" spans="1:10" x14ac:dyDescent="0.2">
      <c r="A878" s="13"/>
      <c r="B878" s="13"/>
      <c r="C878" s="15" t="s">
        <v>5</v>
      </c>
      <c r="D878" s="15"/>
      <c r="E878" s="15"/>
      <c r="F878" s="15"/>
      <c r="G878" s="15"/>
      <c r="H878" s="13"/>
      <c r="I878" s="13"/>
      <c r="J878" s="13"/>
    </row>
    <row r="879" spans="1:10" x14ac:dyDescent="0.2">
      <c r="A879" s="13"/>
      <c r="B879" s="13"/>
      <c r="C879" s="15"/>
      <c r="D879" s="15"/>
      <c r="E879" s="15"/>
      <c r="F879" s="15"/>
      <c r="G879" s="15"/>
      <c r="H879" s="13"/>
      <c r="I879" s="13"/>
      <c r="J879" s="13"/>
    </row>
    <row r="880" spans="1:10" x14ac:dyDescent="0.2">
      <c r="A880" s="13"/>
      <c r="B880" s="13" t="s">
        <v>2762</v>
      </c>
      <c r="C880" s="15"/>
      <c r="D880" s="15"/>
      <c r="E880" s="15"/>
      <c r="F880" s="15"/>
      <c r="G880" s="15"/>
      <c r="H880" s="13"/>
      <c r="I880" s="13"/>
      <c r="J880" s="13"/>
    </row>
    <row r="881" spans="1:10" x14ac:dyDescent="0.2">
      <c r="A881" s="13"/>
      <c r="B881" s="13"/>
      <c r="C881" s="15"/>
      <c r="D881" s="15"/>
      <c r="E881" s="547">
        <f>C868-D868-100-(F868-G868)</f>
        <v>1146.5</v>
      </c>
      <c r="F881" s="15" t="s">
        <v>1051</v>
      </c>
      <c r="G881" s="15"/>
      <c r="H881" s="13"/>
      <c r="I881" s="13"/>
      <c r="J881" s="13"/>
    </row>
    <row r="882" spans="1:10" x14ac:dyDescent="0.2">
      <c r="A882" s="13"/>
      <c r="B882" s="13"/>
      <c r="C882" s="15"/>
      <c r="D882" s="15"/>
      <c r="E882" s="15"/>
      <c r="F882" s="15"/>
      <c r="G882" s="15"/>
      <c r="H882" s="13"/>
      <c r="I882" s="13"/>
      <c r="J882" s="13"/>
    </row>
    <row r="883" spans="1:10" x14ac:dyDescent="0.2">
      <c r="A883" s="14" t="s">
        <v>2737</v>
      </c>
      <c r="B883" s="13"/>
      <c r="C883" s="15"/>
      <c r="D883" s="15"/>
      <c r="E883" s="15"/>
      <c r="F883" s="15"/>
      <c r="G883" s="15"/>
      <c r="H883" s="13"/>
      <c r="I883" s="13"/>
      <c r="J883" s="13"/>
    </row>
    <row r="884" spans="1:10" x14ac:dyDescent="0.2">
      <c r="A884" s="13" t="s">
        <v>2738</v>
      </c>
      <c r="B884" s="13"/>
      <c r="C884" s="15"/>
      <c r="D884" s="15"/>
      <c r="E884" s="15"/>
      <c r="F884" s="15"/>
      <c r="G884" s="15"/>
      <c r="H884" s="13"/>
      <c r="I884" s="13"/>
      <c r="J884" s="13"/>
    </row>
    <row r="885" spans="1:10" x14ac:dyDescent="0.2">
      <c r="A885" s="13" t="s">
        <v>2740</v>
      </c>
      <c r="B885" s="15">
        <v>400</v>
      </c>
      <c r="C885" s="15"/>
      <c r="D885" s="15"/>
      <c r="E885" s="15"/>
      <c r="F885" s="15"/>
      <c r="G885" s="15"/>
      <c r="H885" s="13"/>
      <c r="I885" s="13"/>
      <c r="J885" s="13"/>
    </row>
    <row r="886" spans="1:10" x14ac:dyDescent="0.2">
      <c r="A886" s="13" t="s">
        <v>2739</v>
      </c>
      <c r="B886" s="15">
        <v>300</v>
      </c>
      <c r="C886" s="15"/>
      <c r="D886" s="15" t="s">
        <v>2079</v>
      </c>
      <c r="E886" s="15"/>
      <c r="F886" s="15"/>
      <c r="G886" s="15"/>
      <c r="H886" s="13"/>
      <c r="I886" s="13"/>
      <c r="J886" s="13"/>
    </row>
    <row r="887" spans="1:10" x14ac:dyDescent="0.2">
      <c r="A887" s="13"/>
      <c r="B887" s="13"/>
      <c r="C887" s="15"/>
      <c r="D887" s="15"/>
      <c r="E887" s="15"/>
      <c r="F887" s="15"/>
      <c r="G887" s="15"/>
      <c r="H887" s="13"/>
      <c r="I887" s="13"/>
      <c r="J887" s="13"/>
    </row>
    <row r="888" spans="1:10" x14ac:dyDescent="0.2">
      <c r="A888" s="13" t="s">
        <v>2741</v>
      </c>
      <c r="B888" s="13"/>
      <c r="C888" s="15"/>
      <c r="D888" s="15"/>
      <c r="E888" s="15"/>
      <c r="F888" s="15"/>
      <c r="G888" s="15"/>
      <c r="H888" s="13"/>
      <c r="I888" s="13"/>
      <c r="J888" s="13"/>
    </row>
    <row r="889" spans="1:10" x14ac:dyDescent="0.2">
      <c r="A889" s="13" t="s">
        <v>2743</v>
      </c>
      <c r="B889" s="475">
        <f>B886/8</f>
        <v>37.5</v>
      </c>
      <c r="C889" s="15"/>
      <c r="D889" s="15" t="s">
        <v>2742</v>
      </c>
      <c r="E889" s="15"/>
      <c r="F889" s="15"/>
      <c r="G889" s="15"/>
      <c r="H889" s="13"/>
      <c r="I889" s="13"/>
      <c r="J889" s="13"/>
    </row>
    <row r="890" spans="1:10" x14ac:dyDescent="0.2">
      <c r="A890" s="13"/>
      <c r="B890" s="13"/>
      <c r="C890" s="15"/>
      <c r="D890" s="15"/>
      <c r="E890" s="15"/>
      <c r="F890" s="15"/>
      <c r="G890" s="15"/>
      <c r="H890" s="13"/>
      <c r="I890" s="13"/>
      <c r="J890" s="13"/>
    </row>
    <row r="891" spans="1:10" x14ac:dyDescent="0.2">
      <c r="A891" s="14" t="s">
        <v>2744</v>
      </c>
      <c r="B891" s="13"/>
      <c r="C891" s="15"/>
      <c r="D891" s="15"/>
      <c r="E891" s="15"/>
      <c r="F891" s="15"/>
      <c r="G891" s="15"/>
      <c r="H891" s="13"/>
      <c r="I891" s="13"/>
      <c r="J891" s="13"/>
    </row>
    <row r="892" spans="1:10" x14ac:dyDescent="0.2">
      <c r="A892" s="13" t="s">
        <v>2745</v>
      </c>
      <c r="B892" s="13"/>
      <c r="C892" s="15"/>
      <c r="D892" s="15"/>
      <c r="E892" s="15"/>
      <c r="F892" s="15"/>
      <c r="G892" s="15"/>
      <c r="H892" s="13"/>
      <c r="I892" s="13"/>
      <c r="J892" s="13"/>
    </row>
    <row r="893" spans="1:10" x14ac:dyDescent="0.2">
      <c r="A893" s="13" t="s">
        <v>2746</v>
      </c>
      <c r="B893" s="13"/>
      <c r="C893" s="15"/>
      <c r="D893" s="15"/>
      <c r="E893" s="15"/>
      <c r="F893" s="15"/>
      <c r="G893" s="15"/>
      <c r="H893" s="13"/>
      <c r="I893" s="13"/>
      <c r="J893" s="13"/>
    </row>
    <row r="894" spans="1:10" x14ac:dyDescent="0.2">
      <c r="A894" s="13"/>
      <c r="B894" s="13" t="s">
        <v>1000</v>
      </c>
      <c r="C894" s="15"/>
      <c r="D894" s="15"/>
      <c r="E894" s="15"/>
      <c r="F894" s="15"/>
      <c r="G894" s="15"/>
      <c r="H894" s="13"/>
      <c r="I894" s="13"/>
      <c r="J894" s="13"/>
    </row>
    <row r="895" spans="1:10" x14ac:dyDescent="0.2">
      <c r="A895" s="13" t="s">
        <v>2747</v>
      </c>
      <c r="B895" s="15">
        <v>160</v>
      </c>
      <c r="C895" s="15"/>
      <c r="D895" s="15" t="s">
        <v>2748</v>
      </c>
      <c r="E895" s="15"/>
      <c r="F895" s="15"/>
      <c r="G895" s="15"/>
      <c r="H895" s="13"/>
      <c r="I895" s="13"/>
      <c r="J895" s="13"/>
    </row>
    <row r="896" spans="1:10" x14ac:dyDescent="0.2">
      <c r="A896" s="13" t="s">
        <v>2749</v>
      </c>
      <c r="B896" s="15">
        <v>120</v>
      </c>
      <c r="C896" s="15"/>
      <c r="D896" s="15" t="s">
        <v>2750</v>
      </c>
      <c r="E896" s="15"/>
      <c r="F896" s="15"/>
      <c r="G896" s="15"/>
      <c r="H896" s="13"/>
      <c r="I896" s="13"/>
      <c r="J896" s="13"/>
    </row>
    <row r="897" spans="1:10" x14ac:dyDescent="0.2">
      <c r="A897" s="13" t="s">
        <v>2751</v>
      </c>
      <c r="B897" s="475">
        <f>B896</f>
        <v>120</v>
      </c>
      <c r="C897" s="15"/>
      <c r="D897" s="15"/>
      <c r="E897" s="15"/>
      <c r="F897" s="15"/>
      <c r="G897" s="15"/>
      <c r="H897" s="13"/>
      <c r="I897" s="13"/>
      <c r="J897" s="13"/>
    </row>
    <row r="898" spans="1:10" x14ac:dyDescent="0.2">
      <c r="A898" s="13"/>
      <c r="B898" s="13"/>
      <c r="C898" s="15"/>
      <c r="D898" s="15"/>
      <c r="E898" s="15"/>
      <c r="F898" s="15"/>
      <c r="G898" s="15"/>
      <c r="H898" s="13"/>
      <c r="I898" s="13"/>
      <c r="J898" s="13"/>
    </row>
    <row r="899" spans="1:10" x14ac:dyDescent="0.2">
      <c r="A899" s="13" t="s">
        <v>2752</v>
      </c>
      <c r="B899" s="13"/>
      <c r="C899" s="15"/>
      <c r="D899" s="15"/>
      <c r="E899" s="15"/>
      <c r="F899" s="15"/>
      <c r="G899" s="15"/>
      <c r="H899" s="13"/>
      <c r="I899" s="13"/>
      <c r="J899" s="13"/>
    </row>
    <row r="900" spans="1:10" x14ac:dyDescent="0.2">
      <c r="A900" s="13" t="s">
        <v>2753</v>
      </c>
      <c r="B900" s="13"/>
      <c r="C900" s="15"/>
      <c r="D900" s="15"/>
      <c r="E900" s="15"/>
      <c r="F900" s="15"/>
      <c r="G900" s="15"/>
      <c r="H900" s="13"/>
      <c r="I900" s="13"/>
      <c r="J900" s="13"/>
    </row>
    <row r="901" spans="1:10" x14ac:dyDescent="0.2">
      <c r="A901" s="13" t="s">
        <v>2754</v>
      </c>
      <c r="B901" s="13"/>
      <c r="C901" s="15"/>
      <c r="D901" s="15"/>
      <c r="E901" s="15"/>
      <c r="F901" s="15"/>
      <c r="G901" s="15"/>
      <c r="H901" s="13"/>
      <c r="I901" s="13"/>
      <c r="J901" s="13"/>
    </row>
    <row r="902" spans="1:10" x14ac:dyDescent="0.2">
      <c r="A902" s="13"/>
      <c r="B902" s="13"/>
      <c r="C902" s="15"/>
      <c r="D902" s="15"/>
      <c r="E902" s="15"/>
      <c r="F902" s="15"/>
      <c r="G902" s="15"/>
      <c r="H902" s="13"/>
      <c r="I902" s="13"/>
      <c r="J902" s="13"/>
    </row>
  </sheetData>
  <mergeCells count="11">
    <mergeCell ref="C872:G872"/>
    <mergeCell ref="D875:E875"/>
    <mergeCell ref="A710:H710"/>
    <mergeCell ref="A524:H524"/>
    <mergeCell ref="A1:H1"/>
    <mergeCell ref="E451:E452"/>
    <mergeCell ref="F451:F452"/>
    <mergeCell ref="D520:F520"/>
    <mergeCell ref="A441:H441"/>
    <mergeCell ref="A708:B708"/>
    <mergeCell ref="H416:I416"/>
  </mergeCells>
  <pageMargins left="0.7" right="0.7" top="0.75" bottom="0.75" header="0.3" footer="0.3"/>
  <drawing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72DA8-0EB1-CC41-A750-A79510D644C5}">
  <dimension ref="A1:Q358"/>
  <sheetViews>
    <sheetView rightToLeft="1" topLeftCell="A266" zoomScale="159" zoomScaleNormal="310" workbookViewId="0">
      <selection activeCell="I291" sqref="I291"/>
    </sheetView>
  </sheetViews>
  <sheetFormatPr baseColWidth="10" defaultRowHeight="16" x14ac:dyDescent="0.2"/>
  <cols>
    <col min="1" max="1" width="33" style="1" customWidth="1"/>
    <col min="2" max="16384" width="10.83203125" style="1"/>
  </cols>
  <sheetData>
    <row r="1" spans="1:8" x14ac:dyDescent="0.2">
      <c r="A1" s="829" t="s">
        <v>4532</v>
      </c>
      <c r="B1" s="829"/>
      <c r="C1" s="829"/>
      <c r="D1" s="829"/>
      <c r="E1" s="829"/>
      <c r="F1" s="829"/>
      <c r="G1" s="829"/>
      <c r="H1" s="829"/>
    </row>
    <row r="3" spans="1:8" x14ac:dyDescent="0.2">
      <c r="A3" s="2" t="s">
        <v>1916</v>
      </c>
    </row>
    <row r="5" spans="1:8" x14ac:dyDescent="0.2">
      <c r="A5" s="2" t="s">
        <v>1917</v>
      </c>
    </row>
    <row r="7" spans="1:8" ht="17" thickBot="1" x14ac:dyDescent="0.25">
      <c r="A7" s="318" t="s">
        <v>9</v>
      </c>
      <c r="B7" s="318" t="s">
        <v>107</v>
      </c>
      <c r="C7" s="103" t="s">
        <v>6</v>
      </c>
      <c r="D7" s="103" t="s">
        <v>7</v>
      </c>
      <c r="E7" s="103" t="s">
        <v>1614</v>
      </c>
      <c r="F7" s="103" t="s">
        <v>4</v>
      </c>
      <c r="G7" s="103" t="s">
        <v>5</v>
      </c>
    </row>
    <row r="8" spans="1:8" x14ac:dyDescent="0.2">
      <c r="A8" s="319" t="s">
        <v>1238</v>
      </c>
      <c r="B8" s="320">
        <v>320</v>
      </c>
    </row>
    <row r="9" spans="1:8" x14ac:dyDescent="0.2">
      <c r="A9" s="319" t="s">
        <v>1918</v>
      </c>
      <c r="B9" s="320">
        <v>80</v>
      </c>
    </row>
    <row r="10" spans="1:8" x14ac:dyDescent="0.2">
      <c r="A10" s="319" t="s">
        <v>14</v>
      </c>
      <c r="B10" s="320">
        <v>500</v>
      </c>
    </row>
    <row r="11" spans="1:8" x14ac:dyDescent="0.2">
      <c r="A11" s="319" t="s">
        <v>12</v>
      </c>
      <c r="B11" s="320">
        <v>300</v>
      </c>
    </row>
    <row r="12" spans="1:8" x14ac:dyDescent="0.2">
      <c r="A12" s="319" t="s">
        <v>68</v>
      </c>
      <c r="B12" s="320">
        <v>700</v>
      </c>
    </row>
    <row r="13" spans="1:8" x14ac:dyDescent="0.2">
      <c r="A13" s="319" t="s">
        <v>16</v>
      </c>
      <c r="B13" s="320">
        <v>20</v>
      </c>
    </row>
    <row r="14" spans="1:8" ht="17" x14ac:dyDescent="0.2">
      <c r="A14" s="321" t="s">
        <v>1919</v>
      </c>
      <c r="B14" s="320">
        <v>30</v>
      </c>
    </row>
    <row r="15" spans="1:8" ht="17" x14ac:dyDescent="0.2">
      <c r="A15" s="321" t="s">
        <v>22</v>
      </c>
      <c r="B15" s="320">
        <v>50</v>
      </c>
    </row>
    <row r="16" spans="1:8" x14ac:dyDescent="0.2">
      <c r="A16" s="319" t="s">
        <v>24</v>
      </c>
      <c r="B16" s="320">
        <v>90</v>
      </c>
    </row>
    <row r="17" spans="1:2" x14ac:dyDescent="0.2">
      <c r="A17" s="319" t="s">
        <v>259</v>
      </c>
      <c r="B17" s="320">
        <v>300</v>
      </c>
    </row>
    <row r="18" spans="1:2" x14ac:dyDescent="0.2">
      <c r="A18" s="319" t="s">
        <v>1278</v>
      </c>
      <c r="B18" s="320">
        <v>50</v>
      </c>
    </row>
    <row r="19" spans="1:2" x14ac:dyDescent="0.2">
      <c r="A19" s="319" t="s">
        <v>1297</v>
      </c>
      <c r="B19" s="320" t="s">
        <v>26</v>
      </c>
    </row>
    <row r="20" spans="1:2" ht="17" x14ac:dyDescent="0.2">
      <c r="A20" s="321" t="s">
        <v>1241</v>
      </c>
      <c r="B20" s="320">
        <v>600</v>
      </c>
    </row>
    <row r="21" spans="1:2" ht="17" x14ac:dyDescent="0.2">
      <c r="A21" s="321" t="s">
        <v>1242</v>
      </c>
      <c r="B21" s="320" t="s">
        <v>26</v>
      </c>
    </row>
    <row r="22" spans="1:2" ht="17" x14ac:dyDescent="0.2">
      <c r="A22" s="321" t="s">
        <v>109</v>
      </c>
      <c r="B22" s="320">
        <v>20</v>
      </c>
    </row>
    <row r="23" spans="1:2" ht="17" x14ac:dyDescent="0.2">
      <c r="A23" s="321" t="s">
        <v>1246</v>
      </c>
      <c r="B23" s="320">
        <v>100</v>
      </c>
    </row>
    <row r="24" spans="1:2" ht="17" x14ac:dyDescent="0.2">
      <c r="A24" s="321" t="s">
        <v>1920</v>
      </c>
      <c r="B24" s="320">
        <v>50</v>
      </c>
    </row>
    <row r="25" spans="1:2" x14ac:dyDescent="0.2">
      <c r="A25" s="319" t="s">
        <v>23</v>
      </c>
      <c r="B25" s="320">
        <v>100</v>
      </c>
    </row>
    <row r="26" spans="1:2" ht="17" x14ac:dyDescent="0.2">
      <c r="A26" s="321" t="s">
        <v>258</v>
      </c>
      <c r="B26" s="320">
        <v>20</v>
      </c>
    </row>
    <row r="27" spans="1:2" ht="17" x14ac:dyDescent="0.2">
      <c r="A27" s="321" t="s">
        <v>1250</v>
      </c>
      <c r="B27" s="320">
        <v>80</v>
      </c>
    </row>
    <row r="28" spans="1:2" ht="17" x14ac:dyDescent="0.2">
      <c r="A28" s="321" t="s">
        <v>1921</v>
      </c>
      <c r="B28" s="320">
        <v>20</v>
      </c>
    </row>
    <row r="29" spans="1:2" ht="17" x14ac:dyDescent="0.2">
      <c r="A29" s="321" t="s">
        <v>1252</v>
      </c>
      <c r="B29" s="320">
        <v>10</v>
      </c>
    </row>
    <row r="30" spans="1:2" ht="17" x14ac:dyDescent="0.2">
      <c r="A30" s="321" t="s">
        <v>1253</v>
      </c>
      <c r="B30" s="320">
        <v>30</v>
      </c>
    </row>
    <row r="31" spans="1:2" ht="17" x14ac:dyDescent="0.2">
      <c r="A31" s="321" t="s">
        <v>260</v>
      </c>
      <c r="B31" s="320">
        <v>15</v>
      </c>
    </row>
    <row r="32" spans="1:2" ht="17" x14ac:dyDescent="0.2">
      <c r="A32" s="321" t="s">
        <v>1922</v>
      </c>
      <c r="B32" s="320">
        <v>22</v>
      </c>
    </row>
    <row r="33" spans="1:8" ht="17" x14ac:dyDescent="0.2">
      <c r="A33" s="321" t="s">
        <v>1255</v>
      </c>
      <c r="B33" s="320" t="s">
        <v>26</v>
      </c>
    </row>
    <row r="34" spans="1:8" ht="17" x14ac:dyDescent="0.2">
      <c r="A34" s="321" t="s">
        <v>1256</v>
      </c>
      <c r="B34" s="320" t="s">
        <v>26</v>
      </c>
    </row>
    <row r="36" spans="1:8" x14ac:dyDescent="0.2">
      <c r="A36" s="2" t="s">
        <v>1923</v>
      </c>
    </row>
    <row r="38" spans="1:8" ht="17" thickBot="1" x14ac:dyDescent="0.25">
      <c r="A38" s="318" t="s">
        <v>9</v>
      </c>
      <c r="B38" s="318" t="s">
        <v>107</v>
      </c>
      <c r="C38" s="103" t="s">
        <v>6</v>
      </c>
      <c r="D38" s="103" t="s">
        <v>7</v>
      </c>
      <c r="E38" s="103" t="s">
        <v>1614</v>
      </c>
      <c r="F38" s="103" t="s">
        <v>4</v>
      </c>
      <c r="G38" s="103" t="s">
        <v>5</v>
      </c>
    </row>
    <row r="39" spans="1:8" s="13" customFormat="1" x14ac:dyDescent="0.2">
      <c r="A39" s="541" t="s">
        <v>1238</v>
      </c>
      <c r="B39" s="471">
        <v>320</v>
      </c>
      <c r="C39" s="13">
        <f>B39</f>
        <v>320</v>
      </c>
    </row>
    <row r="40" spans="1:8" s="13" customFormat="1" x14ac:dyDescent="0.2">
      <c r="A40" s="541" t="s">
        <v>1918</v>
      </c>
      <c r="B40" s="471">
        <v>80</v>
      </c>
      <c r="G40" s="13">
        <f>B40</f>
        <v>80</v>
      </c>
    </row>
    <row r="41" spans="1:8" s="13" customFormat="1" x14ac:dyDescent="0.2">
      <c r="A41" s="541" t="s">
        <v>14</v>
      </c>
      <c r="B41" s="471">
        <v>500</v>
      </c>
      <c r="C41" s="13">
        <f>B41</f>
        <v>500</v>
      </c>
    </row>
    <row r="42" spans="1:8" s="13" customFormat="1" x14ac:dyDescent="0.2">
      <c r="A42" s="541" t="s">
        <v>12</v>
      </c>
      <c r="B42" s="471">
        <v>300</v>
      </c>
      <c r="C42" s="13">
        <f>B42</f>
        <v>300</v>
      </c>
    </row>
    <row r="43" spans="1:8" s="13" customFormat="1" x14ac:dyDescent="0.2">
      <c r="A43" s="541" t="s">
        <v>68</v>
      </c>
      <c r="B43" s="471">
        <v>700</v>
      </c>
      <c r="F43" s="13">
        <f>B43</f>
        <v>700</v>
      </c>
    </row>
    <row r="44" spans="1:8" s="13" customFormat="1" x14ac:dyDescent="0.2">
      <c r="A44" s="541" t="s">
        <v>16</v>
      </c>
      <c r="B44" s="471">
        <v>20</v>
      </c>
      <c r="D44" s="13">
        <f>B44</f>
        <v>20</v>
      </c>
    </row>
    <row r="45" spans="1:8" s="13" customFormat="1" ht="17" x14ac:dyDescent="0.2">
      <c r="A45" s="470" t="s">
        <v>1919</v>
      </c>
      <c r="B45" s="471">
        <v>30</v>
      </c>
      <c r="C45" s="13">
        <f>B45</f>
        <v>30</v>
      </c>
      <c r="H45" s="13" t="s">
        <v>4576</v>
      </c>
    </row>
    <row r="46" spans="1:8" s="13" customFormat="1" ht="17" x14ac:dyDescent="0.2">
      <c r="A46" s="470" t="s">
        <v>22</v>
      </c>
      <c r="B46" s="471">
        <v>50</v>
      </c>
      <c r="D46" s="13">
        <f>B46</f>
        <v>50</v>
      </c>
    </row>
    <row r="47" spans="1:8" s="13" customFormat="1" x14ac:dyDescent="0.2">
      <c r="A47" s="541" t="s">
        <v>24</v>
      </c>
      <c r="B47" s="471">
        <v>90</v>
      </c>
      <c r="E47" s="13">
        <f>B47</f>
        <v>90</v>
      </c>
    </row>
    <row r="48" spans="1:8" s="13" customFormat="1" x14ac:dyDescent="0.2">
      <c r="A48" s="541" t="s">
        <v>259</v>
      </c>
      <c r="B48" s="471">
        <v>300</v>
      </c>
      <c r="G48" s="13">
        <f>B48</f>
        <v>300</v>
      </c>
    </row>
    <row r="49" spans="1:8" s="13" customFormat="1" ht="17" thickBot="1" x14ac:dyDescent="0.25">
      <c r="A49" s="541" t="s">
        <v>1278</v>
      </c>
      <c r="B49" s="471">
        <v>50</v>
      </c>
      <c r="G49" s="13">
        <f>B49</f>
        <v>50</v>
      </c>
    </row>
    <row r="50" spans="1:8" ht="17" thickBot="1" x14ac:dyDescent="0.25">
      <c r="A50" s="319" t="s">
        <v>1297</v>
      </c>
      <c r="B50" s="320" t="s">
        <v>26</v>
      </c>
      <c r="C50" s="12"/>
      <c r="D50" s="12"/>
      <c r="E50" s="723">
        <f>D135</f>
        <v>1124.5</v>
      </c>
      <c r="F50" s="12"/>
      <c r="G50" s="12"/>
      <c r="H50" s="1" t="s">
        <v>4535</v>
      </c>
    </row>
    <row r="51" spans="1:8" s="13" customFormat="1" ht="17" x14ac:dyDescent="0.2">
      <c r="A51" s="470" t="s">
        <v>1241</v>
      </c>
      <c r="B51" s="471">
        <v>600</v>
      </c>
      <c r="C51" s="13">
        <f>B51</f>
        <v>600</v>
      </c>
    </row>
    <row r="52" spans="1:8" s="13" customFormat="1" ht="17" x14ac:dyDescent="0.2">
      <c r="A52" s="470" t="s">
        <v>1242</v>
      </c>
      <c r="B52" s="471" t="s">
        <v>26</v>
      </c>
      <c r="C52" s="472">
        <f>-(600-0)/8*(3+6/12)</f>
        <v>-262.5</v>
      </c>
      <c r="D52" s="12"/>
      <c r="E52" s="12"/>
      <c r="F52" s="12"/>
      <c r="G52" s="12"/>
    </row>
    <row r="53" spans="1:8" s="13" customFormat="1" ht="17" x14ac:dyDescent="0.2">
      <c r="A53" s="470" t="s">
        <v>109</v>
      </c>
      <c r="B53" s="471">
        <v>20</v>
      </c>
      <c r="F53" s="13">
        <f>B53</f>
        <v>20</v>
      </c>
      <c r="H53" s="13" t="s">
        <v>4533</v>
      </c>
    </row>
    <row r="54" spans="1:8" s="13" customFormat="1" ht="17" x14ac:dyDescent="0.2">
      <c r="A54" s="470" t="s">
        <v>1246</v>
      </c>
      <c r="B54" s="471">
        <v>100</v>
      </c>
      <c r="C54" s="13">
        <f>B54</f>
        <v>100</v>
      </c>
    </row>
    <row r="55" spans="1:8" s="13" customFormat="1" ht="17" x14ac:dyDescent="0.2">
      <c r="A55" s="470" t="s">
        <v>1920</v>
      </c>
      <c r="B55" s="471">
        <v>50</v>
      </c>
      <c r="C55" s="13">
        <f>B55</f>
        <v>50</v>
      </c>
    </row>
    <row r="56" spans="1:8" s="13" customFormat="1" x14ac:dyDescent="0.2">
      <c r="A56" s="541" t="s">
        <v>23</v>
      </c>
      <c r="B56" s="471">
        <v>100</v>
      </c>
      <c r="D56" s="13">
        <f>B56</f>
        <v>100</v>
      </c>
    </row>
    <row r="57" spans="1:8" s="13" customFormat="1" ht="17" x14ac:dyDescent="0.2">
      <c r="A57" s="470" t="s">
        <v>258</v>
      </c>
      <c r="B57" s="471">
        <v>20</v>
      </c>
      <c r="G57" s="13">
        <f>B57</f>
        <v>20</v>
      </c>
    </row>
    <row r="58" spans="1:8" s="13" customFormat="1" ht="17" x14ac:dyDescent="0.2">
      <c r="A58" s="470" t="s">
        <v>1250</v>
      </c>
      <c r="B58" s="471">
        <v>80</v>
      </c>
      <c r="F58" s="13">
        <f>B58</f>
        <v>80</v>
      </c>
    </row>
    <row r="59" spans="1:8" s="13" customFormat="1" ht="17" x14ac:dyDescent="0.2">
      <c r="A59" s="470" t="s">
        <v>1921</v>
      </c>
      <c r="B59" s="471">
        <v>20</v>
      </c>
      <c r="G59" s="13">
        <f>B59</f>
        <v>20</v>
      </c>
    </row>
    <row r="60" spans="1:8" s="13" customFormat="1" ht="17" x14ac:dyDescent="0.2">
      <c r="A60" s="470" t="s">
        <v>1252</v>
      </c>
      <c r="B60" s="471">
        <v>10</v>
      </c>
      <c r="G60" s="13">
        <f>B60</f>
        <v>10</v>
      </c>
    </row>
    <row r="61" spans="1:8" s="13" customFormat="1" ht="17" x14ac:dyDescent="0.2">
      <c r="A61" s="470" t="s">
        <v>1253</v>
      </c>
      <c r="B61" s="471">
        <v>30</v>
      </c>
      <c r="G61" s="13">
        <f>B61</f>
        <v>30</v>
      </c>
    </row>
    <row r="62" spans="1:8" s="13" customFormat="1" ht="17" x14ac:dyDescent="0.2">
      <c r="A62" s="470" t="s">
        <v>260</v>
      </c>
      <c r="B62" s="471">
        <v>15</v>
      </c>
      <c r="G62" s="13">
        <f>B62</f>
        <v>15</v>
      </c>
    </row>
    <row r="63" spans="1:8" s="13" customFormat="1" ht="17" x14ac:dyDescent="0.2">
      <c r="A63" s="470" t="s">
        <v>1922</v>
      </c>
      <c r="B63" s="471">
        <v>22</v>
      </c>
      <c r="G63" s="13">
        <f>B63</f>
        <v>22</v>
      </c>
    </row>
    <row r="64" spans="1:8" s="13" customFormat="1" ht="17" x14ac:dyDescent="0.2">
      <c r="A64" s="470" t="s">
        <v>1255</v>
      </c>
      <c r="B64" s="471" t="s">
        <v>26</v>
      </c>
      <c r="C64" s="473">
        <v>50</v>
      </c>
      <c r="H64" s="13" t="s">
        <v>4534</v>
      </c>
    </row>
    <row r="65" spans="1:7" s="13" customFormat="1" ht="17" x14ac:dyDescent="0.2">
      <c r="A65" s="470" t="s">
        <v>1256</v>
      </c>
      <c r="B65" s="471" t="s">
        <v>26</v>
      </c>
      <c r="G65" s="474">
        <v>-50</v>
      </c>
    </row>
    <row r="66" spans="1:7" x14ac:dyDescent="0.2">
      <c r="A66" s="1" t="s">
        <v>272</v>
      </c>
      <c r="C66" s="548">
        <f>SUM(C39:C65)</f>
        <v>1687.5</v>
      </c>
      <c r="D66" s="548">
        <f>SUM(D39:D65)</f>
        <v>170</v>
      </c>
      <c r="E66" s="549" t="s">
        <v>1948</v>
      </c>
      <c r="F66" s="548">
        <f>SUM(F39:F65)</f>
        <v>800</v>
      </c>
      <c r="G66" s="548">
        <f>SUM(G39:G65)</f>
        <v>497</v>
      </c>
    </row>
    <row r="67" spans="1:7" ht="17" thickBot="1" x14ac:dyDescent="0.25">
      <c r="C67" s="329" t="s">
        <v>6</v>
      </c>
      <c r="D67" s="330" t="s">
        <v>7</v>
      </c>
      <c r="E67" s="330" t="s">
        <v>1614</v>
      </c>
      <c r="F67" s="330" t="s">
        <v>4</v>
      </c>
      <c r="G67" s="330" t="s">
        <v>5</v>
      </c>
    </row>
    <row r="68" spans="1:7" x14ac:dyDescent="0.2">
      <c r="E68" s="6"/>
    </row>
    <row r="70" spans="1:7" x14ac:dyDescent="0.2">
      <c r="A70" s="2" t="s">
        <v>1925</v>
      </c>
    </row>
    <row r="72" spans="1:7" x14ac:dyDescent="0.2">
      <c r="A72" s="1" t="s">
        <v>1930</v>
      </c>
      <c r="B72" s="6" t="s">
        <v>26</v>
      </c>
      <c r="C72" s="1" t="s">
        <v>1929</v>
      </c>
    </row>
    <row r="73" spans="1:7" x14ac:dyDescent="0.2">
      <c r="A73" s="1" t="s">
        <v>1255</v>
      </c>
      <c r="B73" s="6" t="s">
        <v>26</v>
      </c>
      <c r="C73" s="1" t="s">
        <v>1929</v>
      </c>
    </row>
    <row r="74" spans="1:7" x14ac:dyDescent="0.2">
      <c r="A74" s="1" t="s">
        <v>1256</v>
      </c>
      <c r="B74" s="6" t="s">
        <v>26</v>
      </c>
      <c r="C74" s="1" t="s">
        <v>1929</v>
      </c>
    </row>
    <row r="75" spans="1:7" x14ac:dyDescent="0.2">
      <c r="A75" s="1" t="s">
        <v>1927</v>
      </c>
      <c r="B75" s="6" t="s">
        <v>26</v>
      </c>
      <c r="C75" s="1" t="s">
        <v>1928</v>
      </c>
    </row>
    <row r="77" spans="1:7" x14ac:dyDescent="0.2">
      <c r="A77" s="110" t="s">
        <v>1941</v>
      </c>
    </row>
    <row r="84" spans="1:6" x14ac:dyDescent="0.2">
      <c r="A84" s="1" t="s">
        <v>1931</v>
      </c>
      <c r="B84" s="120">
        <v>42917</v>
      </c>
      <c r="C84" s="6" t="s">
        <v>1344</v>
      </c>
      <c r="D84" s="1" t="s">
        <v>2764</v>
      </c>
      <c r="F84" s="120">
        <v>44197</v>
      </c>
    </row>
    <row r="85" spans="1:6" x14ac:dyDescent="0.2">
      <c r="A85" s="1" t="s">
        <v>1932</v>
      </c>
      <c r="B85" s="1">
        <v>8</v>
      </c>
      <c r="D85" s="1" t="s">
        <v>2765</v>
      </c>
    </row>
    <row r="86" spans="1:6" x14ac:dyDescent="0.2">
      <c r="A86" s="1" t="s">
        <v>1933</v>
      </c>
      <c r="B86" s="1">
        <v>0</v>
      </c>
    </row>
    <row r="87" spans="1:6" x14ac:dyDescent="0.2">
      <c r="B87" s="120"/>
    </row>
    <row r="88" spans="1:6" x14ac:dyDescent="0.2">
      <c r="A88" s="1" t="s">
        <v>1934</v>
      </c>
      <c r="B88" s="120"/>
    </row>
    <row r="89" spans="1:6" x14ac:dyDescent="0.2">
      <c r="A89" s="1" t="s">
        <v>1935</v>
      </c>
      <c r="B89" s="120"/>
    </row>
    <row r="90" spans="1:6" x14ac:dyDescent="0.2">
      <c r="B90" s="120"/>
    </row>
    <row r="91" spans="1:6" x14ac:dyDescent="0.2">
      <c r="A91" s="1" t="s">
        <v>1936</v>
      </c>
      <c r="B91" s="1">
        <v>600</v>
      </c>
    </row>
    <row r="92" spans="1:6" x14ac:dyDescent="0.2">
      <c r="B92" s="120"/>
    </row>
    <row r="93" spans="1:6" x14ac:dyDescent="0.2">
      <c r="A93" s="1" t="s">
        <v>1940</v>
      </c>
      <c r="B93" s="3">
        <f>600/8*3.5</f>
        <v>262.5</v>
      </c>
      <c r="E93" s="1" t="s">
        <v>1937</v>
      </c>
    </row>
    <row r="94" spans="1:6" x14ac:dyDescent="0.2">
      <c r="B94" s="120"/>
    </row>
    <row r="95" spans="1:6" x14ac:dyDescent="0.2">
      <c r="B95" s="120"/>
    </row>
    <row r="96" spans="1:6" x14ac:dyDescent="0.2">
      <c r="B96" s="120" t="s">
        <v>2770</v>
      </c>
      <c r="D96" s="1" t="s">
        <v>2767</v>
      </c>
      <c r="E96" s="1" t="s">
        <v>2766</v>
      </c>
      <c r="F96" s="1" t="s">
        <v>677</v>
      </c>
    </row>
    <row r="97" spans="1:8" x14ac:dyDescent="0.2">
      <c r="B97" s="120" t="s">
        <v>2771</v>
      </c>
      <c r="D97" s="1" t="s">
        <v>2768</v>
      </c>
    </row>
    <row r="98" spans="1:8" x14ac:dyDescent="0.2">
      <c r="B98" s="120"/>
      <c r="D98" s="1" t="s">
        <v>2769</v>
      </c>
    </row>
    <row r="99" spans="1:8" x14ac:dyDescent="0.2">
      <c r="B99" s="120"/>
    </row>
    <row r="100" spans="1:8" x14ac:dyDescent="0.2">
      <c r="A100" s="1" t="s">
        <v>1938</v>
      </c>
      <c r="B100" s="120"/>
    </row>
    <row r="101" spans="1:8" x14ac:dyDescent="0.2">
      <c r="A101" s="1" t="s">
        <v>1939</v>
      </c>
    </row>
    <row r="103" spans="1:8" x14ac:dyDescent="0.2">
      <c r="A103" s="110" t="s">
        <v>1942</v>
      </c>
    </row>
    <row r="109" spans="1:8" x14ac:dyDescent="0.2">
      <c r="A109" s="1" t="s">
        <v>1943</v>
      </c>
      <c r="F109" s="1" t="s">
        <v>1946</v>
      </c>
    </row>
    <row r="110" spans="1:8" x14ac:dyDescent="0.2">
      <c r="A110" s="1" t="s">
        <v>1944</v>
      </c>
      <c r="F110" s="1">
        <v>70</v>
      </c>
      <c r="H110" s="1" t="s">
        <v>1945</v>
      </c>
    </row>
    <row r="111" spans="1:8" x14ac:dyDescent="0.2">
      <c r="A111" s="1" t="s">
        <v>2772</v>
      </c>
      <c r="F111" s="1">
        <v>50</v>
      </c>
      <c r="H111" s="1" t="s">
        <v>2773</v>
      </c>
    </row>
    <row r="112" spans="1:8" x14ac:dyDescent="0.2">
      <c r="A112" s="1" t="s">
        <v>1947</v>
      </c>
      <c r="F112" s="3">
        <v>50</v>
      </c>
    </row>
    <row r="114" spans="1:6" x14ac:dyDescent="0.2">
      <c r="A114" s="1" t="s">
        <v>2774</v>
      </c>
    </row>
    <row r="115" spans="1:6" x14ac:dyDescent="0.2">
      <c r="A115" s="1" t="s">
        <v>2775</v>
      </c>
    </row>
    <row r="117" spans="1:6" x14ac:dyDescent="0.2">
      <c r="A117" s="110" t="s">
        <v>1949</v>
      </c>
    </row>
    <row r="118" spans="1:6" x14ac:dyDescent="0.2">
      <c r="A118" s="1" t="s">
        <v>1955</v>
      </c>
    </row>
    <row r="119" spans="1:6" x14ac:dyDescent="0.2">
      <c r="A119" s="1" t="s">
        <v>1950</v>
      </c>
    </row>
    <row r="120" spans="1:6" x14ac:dyDescent="0.2">
      <c r="A120" s="1" t="s">
        <v>1951</v>
      </c>
    </row>
    <row r="122" spans="1:6" x14ac:dyDescent="0.2">
      <c r="B122" s="328">
        <v>1687.5</v>
      </c>
      <c r="C122" s="328">
        <v>170</v>
      </c>
      <c r="D122" s="328" t="s">
        <v>1948</v>
      </c>
      <c r="E122" s="328">
        <v>800</v>
      </c>
      <c r="F122" s="328">
        <v>497</v>
      </c>
    </row>
    <row r="123" spans="1:6" ht="17" thickBot="1" x14ac:dyDescent="0.25">
      <c r="B123" s="331" t="s">
        <v>6</v>
      </c>
      <c r="C123" s="332" t="s">
        <v>7</v>
      </c>
      <c r="D123" s="332" t="s">
        <v>1614</v>
      </c>
      <c r="E123" s="332" t="s">
        <v>4</v>
      </c>
      <c r="F123" s="332" t="s">
        <v>5</v>
      </c>
    </row>
    <row r="125" spans="1:6" x14ac:dyDescent="0.2">
      <c r="A125" s="1" t="s">
        <v>1952</v>
      </c>
      <c r="D125" s="1" t="s">
        <v>2776</v>
      </c>
    </row>
    <row r="127" spans="1:6" x14ac:dyDescent="0.2">
      <c r="B127" s="1" t="s">
        <v>1953</v>
      </c>
    </row>
    <row r="129" spans="1:11" x14ac:dyDescent="0.2">
      <c r="E129" s="1" t="s">
        <v>2777</v>
      </c>
    </row>
    <row r="131" spans="1:11" x14ac:dyDescent="0.2">
      <c r="B131" s="1" t="s">
        <v>4</v>
      </c>
      <c r="C131" s="1" t="s">
        <v>2778</v>
      </c>
      <c r="D131" s="1" t="s">
        <v>7</v>
      </c>
      <c r="E131" s="54" t="s">
        <v>6</v>
      </c>
    </row>
    <row r="132" spans="1:11" x14ac:dyDescent="0.2">
      <c r="B132" s="1" t="s">
        <v>2761</v>
      </c>
      <c r="C132" s="1" t="s">
        <v>2779</v>
      </c>
    </row>
    <row r="133" spans="1:11" x14ac:dyDescent="0.2">
      <c r="B133" s="1" t="s">
        <v>5</v>
      </c>
      <c r="C133" s="1" t="s">
        <v>2780</v>
      </c>
    </row>
    <row r="134" spans="1:11" ht="17" thickBot="1" x14ac:dyDescent="0.25">
      <c r="B134" s="13"/>
    </row>
    <row r="135" spans="1:11" ht="17" thickBot="1" x14ac:dyDescent="0.25">
      <c r="D135" s="333">
        <f>B122-C122-E122+F122-90</f>
        <v>1124.5</v>
      </c>
      <c r="E135" s="334" t="s">
        <v>1954</v>
      </c>
    </row>
    <row r="138" spans="1:11" x14ac:dyDescent="0.2">
      <c r="A138" s="2" t="s">
        <v>1956</v>
      </c>
    </row>
    <row r="139" spans="1:11" x14ac:dyDescent="0.2">
      <c r="A139" s="1" t="s">
        <v>1957</v>
      </c>
    </row>
    <row r="140" spans="1:11" x14ac:dyDescent="0.2">
      <c r="A140" s="1" t="s">
        <v>1958</v>
      </c>
    </row>
    <row r="141" spans="1:11" x14ac:dyDescent="0.2">
      <c r="A141" s="1" t="s">
        <v>1959</v>
      </c>
    </row>
    <row r="143" spans="1:11" ht="17" thickBot="1" x14ac:dyDescent="0.25"/>
    <row r="144" spans="1:11" x14ac:dyDescent="0.2">
      <c r="A144" s="714" t="s">
        <v>1960</v>
      </c>
      <c r="B144" s="100"/>
      <c r="C144" s="100"/>
      <c r="D144" s="100"/>
      <c r="E144" s="100"/>
      <c r="F144" s="100"/>
      <c r="G144" s="100"/>
      <c r="H144" s="100"/>
      <c r="I144" s="100"/>
      <c r="J144" s="100"/>
      <c r="K144" s="19"/>
    </row>
    <row r="145" spans="1:11" x14ac:dyDescent="0.2">
      <c r="A145" s="106"/>
      <c r="H145" s="1" t="s">
        <v>4536</v>
      </c>
      <c r="K145" s="107"/>
    </row>
    <row r="146" spans="1:11" x14ac:dyDescent="0.2">
      <c r="A146" s="106"/>
      <c r="H146" s="1" t="s">
        <v>4537</v>
      </c>
      <c r="K146" s="107"/>
    </row>
    <row r="147" spans="1:11" x14ac:dyDescent="0.2">
      <c r="A147" s="106"/>
      <c r="H147" s="1" t="s">
        <v>4538</v>
      </c>
      <c r="K147" s="107"/>
    </row>
    <row r="148" spans="1:11" x14ac:dyDescent="0.2">
      <c r="A148" s="106"/>
      <c r="H148" s="1" t="s">
        <v>4539</v>
      </c>
      <c r="K148" s="107"/>
    </row>
    <row r="149" spans="1:11" x14ac:dyDescent="0.2">
      <c r="A149" s="106"/>
      <c r="H149" s="2" t="s">
        <v>3564</v>
      </c>
      <c r="K149" s="107"/>
    </row>
    <row r="150" spans="1:11" x14ac:dyDescent="0.2">
      <c r="A150" s="106"/>
      <c r="H150" s="2" t="s">
        <v>4540</v>
      </c>
      <c r="K150" s="107"/>
    </row>
    <row r="151" spans="1:11" x14ac:dyDescent="0.2">
      <c r="A151" s="106"/>
      <c r="H151" s="2" t="s">
        <v>4541</v>
      </c>
      <c r="K151" s="107"/>
    </row>
    <row r="152" spans="1:11" ht="17" thickBot="1" x14ac:dyDescent="0.25">
      <c r="A152" s="106"/>
      <c r="K152" s="107"/>
    </row>
    <row r="153" spans="1:11" x14ac:dyDescent="0.2">
      <c r="A153" s="18" t="s">
        <v>1961</v>
      </c>
      <c r="B153" s="179" t="s">
        <v>4546</v>
      </c>
      <c r="C153" s="179" t="s">
        <v>4570</v>
      </c>
      <c r="D153" s="149" t="s">
        <v>4547</v>
      </c>
      <c r="G153" s="18"/>
      <c r="H153" s="100" t="s">
        <v>4542</v>
      </c>
      <c r="I153" s="100"/>
      <c r="J153" s="19"/>
      <c r="K153" s="107"/>
    </row>
    <row r="154" spans="1:11" x14ac:dyDescent="0.2">
      <c r="A154" s="106" t="s">
        <v>1918</v>
      </c>
      <c r="B154" s="6">
        <v>80</v>
      </c>
      <c r="C154" s="6">
        <v>30</v>
      </c>
      <c r="D154" s="712">
        <f>B154+J154</f>
        <v>110</v>
      </c>
      <c r="G154" s="106" t="s">
        <v>1728</v>
      </c>
      <c r="H154" s="1" t="s">
        <v>4543</v>
      </c>
      <c r="J154" s="107">
        <v>30</v>
      </c>
      <c r="K154" s="107"/>
    </row>
    <row r="155" spans="1:11" ht="17" thickBot="1" x14ac:dyDescent="0.25">
      <c r="A155" s="20" t="s">
        <v>1962</v>
      </c>
      <c r="B155" s="158">
        <v>30</v>
      </c>
      <c r="C155" s="158">
        <v>-30</v>
      </c>
      <c r="D155" s="713">
        <v>0</v>
      </c>
      <c r="E155" s="103"/>
      <c r="F155" s="103"/>
      <c r="G155" s="20" t="s">
        <v>4545</v>
      </c>
      <c r="H155" s="103" t="s">
        <v>4544</v>
      </c>
      <c r="I155" s="103"/>
      <c r="J155" s="21">
        <f>J154</f>
        <v>30</v>
      </c>
      <c r="K155" s="21"/>
    </row>
    <row r="157" spans="1:11" x14ac:dyDescent="0.2">
      <c r="A157" s="1" t="s">
        <v>4548</v>
      </c>
    </row>
    <row r="158" spans="1:11" x14ac:dyDescent="0.2">
      <c r="A158" s="1" t="s">
        <v>1963</v>
      </c>
    </row>
    <row r="159" spans="1:11" x14ac:dyDescent="0.2">
      <c r="A159" s="1" t="s">
        <v>1964</v>
      </c>
    </row>
    <row r="160" spans="1:11" x14ac:dyDescent="0.2">
      <c r="A160" s="1" t="s">
        <v>1965</v>
      </c>
    </row>
    <row r="161" spans="1:7" x14ac:dyDescent="0.2">
      <c r="B161" s="1" t="s">
        <v>1966</v>
      </c>
    </row>
    <row r="162" spans="1:7" x14ac:dyDescent="0.2">
      <c r="B162" s="1" t="s">
        <v>1967</v>
      </c>
    </row>
    <row r="164" spans="1:7" x14ac:dyDescent="0.2">
      <c r="A164" s="1" t="s">
        <v>1968</v>
      </c>
    </row>
    <row r="165" spans="1:7" ht="17" thickBot="1" x14ac:dyDescent="0.25">
      <c r="A165" s="103"/>
      <c r="B165" s="103" t="s">
        <v>1969</v>
      </c>
      <c r="C165" s="103"/>
      <c r="D165" s="103" t="s">
        <v>1970</v>
      </c>
      <c r="E165" s="335" t="s">
        <v>1975</v>
      </c>
      <c r="F165" s="335"/>
      <c r="G165" s="103" t="s">
        <v>446</v>
      </c>
    </row>
    <row r="166" spans="1:7" x14ac:dyDescent="0.2">
      <c r="A166" s="120">
        <v>44196</v>
      </c>
      <c r="E166" s="3"/>
      <c r="F166" s="3"/>
      <c r="G166" s="1" t="s">
        <v>1769</v>
      </c>
    </row>
    <row r="167" spans="1:7" x14ac:dyDescent="0.2">
      <c r="A167" s="1">
        <v>2021</v>
      </c>
      <c r="B167" s="1" t="s">
        <v>1971</v>
      </c>
      <c r="D167" s="1">
        <v>110</v>
      </c>
      <c r="E167" s="7" t="s">
        <v>1973</v>
      </c>
      <c r="F167" s="7"/>
    </row>
    <row r="168" spans="1:7" x14ac:dyDescent="0.2">
      <c r="B168" s="1" t="s">
        <v>1972</v>
      </c>
      <c r="E168" s="7" t="s">
        <v>1974</v>
      </c>
      <c r="F168" s="7"/>
      <c r="G168" s="1">
        <v>0</v>
      </c>
    </row>
    <row r="170" spans="1:7" x14ac:dyDescent="0.2">
      <c r="A170" s="1" t="s">
        <v>1976</v>
      </c>
    </row>
    <row r="171" spans="1:7" x14ac:dyDescent="0.2">
      <c r="A171" s="1" t="s">
        <v>1977</v>
      </c>
    </row>
    <row r="172" spans="1:7" x14ac:dyDescent="0.2">
      <c r="A172" s="1" t="s">
        <v>1978</v>
      </c>
    </row>
    <row r="175" spans="1:7" x14ac:dyDescent="0.2">
      <c r="A175" s="110" t="s">
        <v>1980</v>
      </c>
    </row>
    <row r="176" spans="1:7" x14ac:dyDescent="0.2">
      <c r="G176" s="1" t="s">
        <v>4577</v>
      </c>
    </row>
    <row r="177" spans="1:7" x14ac:dyDescent="0.2">
      <c r="G177" s="1" t="s">
        <v>4549</v>
      </c>
    </row>
    <row r="178" spans="1:7" x14ac:dyDescent="0.2">
      <c r="G178" s="1" t="s">
        <v>4550</v>
      </c>
    </row>
    <row r="183" spans="1:7" x14ac:dyDescent="0.2">
      <c r="A183" s="1" t="s">
        <v>1981</v>
      </c>
    </row>
    <row r="184" spans="1:7" x14ac:dyDescent="0.2">
      <c r="A184" s="1" t="s">
        <v>1982</v>
      </c>
      <c r="B184" s="1">
        <v>100</v>
      </c>
    </row>
    <row r="185" spans="1:7" x14ac:dyDescent="0.2">
      <c r="A185" s="1" t="s">
        <v>1983</v>
      </c>
      <c r="B185" s="87" t="s">
        <v>1984</v>
      </c>
      <c r="C185" s="1" t="s">
        <v>2781</v>
      </c>
    </row>
    <row r="186" spans="1:7" x14ac:dyDescent="0.2">
      <c r="A186" s="1" t="s">
        <v>1985</v>
      </c>
      <c r="B186" s="87">
        <v>10</v>
      </c>
    </row>
    <row r="187" spans="1:7" x14ac:dyDescent="0.2">
      <c r="A187" s="1" t="s">
        <v>2782</v>
      </c>
      <c r="B187" s="87"/>
    </row>
    <row r="189" spans="1:7" x14ac:dyDescent="0.2">
      <c r="A189" s="1" t="s">
        <v>1987</v>
      </c>
      <c r="B189" s="1">
        <f>90/10*2/12</f>
        <v>1.5</v>
      </c>
      <c r="E189" s="1" t="s">
        <v>1986</v>
      </c>
    </row>
    <row r="191" spans="1:7" x14ac:dyDescent="0.2">
      <c r="C191" s="1" t="s">
        <v>2785</v>
      </c>
    </row>
    <row r="192" spans="1:7" x14ac:dyDescent="0.2">
      <c r="C192" s="1" t="s">
        <v>2786</v>
      </c>
      <c r="D192" s="1" t="s">
        <v>2783</v>
      </c>
      <c r="E192" s="54" t="s">
        <v>677</v>
      </c>
    </row>
    <row r="193" spans="1:11" x14ac:dyDescent="0.2">
      <c r="C193" s="1" t="s">
        <v>2787</v>
      </c>
      <c r="D193" s="1" t="s">
        <v>2784</v>
      </c>
      <c r="E193" s="1" t="s">
        <v>836</v>
      </c>
    </row>
    <row r="194" spans="1:11" ht="17" thickBot="1" x14ac:dyDescent="0.25"/>
    <row r="195" spans="1:11" x14ac:dyDescent="0.2">
      <c r="A195" s="415" t="s">
        <v>1988</v>
      </c>
      <c r="B195" s="715"/>
    </row>
    <row r="196" spans="1:11" x14ac:dyDescent="0.2">
      <c r="A196" s="414" t="s">
        <v>1989</v>
      </c>
      <c r="B196" s="716">
        <f>B189</f>
        <v>1.5</v>
      </c>
      <c r="C196" s="8" t="s">
        <v>4578</v>
      </c>
    </row>
    <row r="197" spans="1:11" ht="17" thickBot="1" x14ac:dyDescent="0.25">
      <c r="A197" s="612" t="s">
        <v>1990</v>
      </c>
      <c r="B197" s="717">
        <f>B196</f>
        <v>1.5</v>
      </c>
      <c r="C197" s="8" t="s">
        <v>4579</v>
      </c>
    </row>
    <row r="200" spans="1:11" ht="17" thickBot="1" x14ac:dyDescent="0.25">
      <c r="A200" s="110" t="s">
        <v>1992</v>
      </c>
    </row>
    <row r="201" spans="1:11" x14ac:dyDescent="0.2">
      <c r="H201" s="18" t="s">
        <v>3564</v>
      </c>
      <c r="I201" s="100"/>
      <c r="J201" s="100"/>
      <c r="K201" s="19"/>
    </row>
    <row r="202" spans="1:11" x14ac:dyDescent="0.2">
      <c r="H202" s="106" t="s">
        <v>4551</v>
      </c>
      <c r="K202" s="107"/>
    </row>
    <row r="203" spans="1:11" x14ac:dyDescent="0.2">
      <c r="H203" s="106" t="s">
        <v>4552</v>
      </c>
      <c r="K203" s="107"/>
    </row>
    <row r="204" spans="1:11" x14ac:dyDescent="0.2">
      <c r="H204" s="106" t="s">
        <v>4553</v>
      </c>
      <c r="K204" s="107"/>
    </row>
    <row r="205" spans="1:11" x14ac:dyDescent="0.2">
      <c r="H205" s="106" t="s">
        <v>4554</v>
      </c>
      <c r="K205" s="107"/>
    </row>
    <row r="206" spans="1:11" ht="17" thickBot="1" x14ac:dyDescent="0.25">
      <c r="H206" s="20" t="s">
        <v>4555</v>
      </c>
      <c r="I206" s="103"/>
      <c r="J206" s="103"/>
      <c r="K206" s="21"/>
    </row>
    <row r="208" spans="1:11" x14ac:dyDescent="0.2">
      <c r="A208" s="1" t="s">
        <v>1993</v>
      </c>
    </row>
    <row r="209" spans="1:11" x14ac:dyDescent="0.2">
      <c r="A209" s="1" t="s">
        <v>1241</v>
      </c>
      <c r="B209" s="1">
        <f>B91</f>
        <v>600</v>
      </c>
      <c r="C209" s="1" t="s">
        <v>4580</v>
      </c>
    </row>
    <row r="210" spans="1:11" x14ac:dyDescent="0.2">
      <c r="A210" s="1" t="s">
        <v>1242</v>
      </c>
      <c r="B210" s="1">
        <f>B93</f>
        <v>262.5</v>
      </c>
      <c r="C210" s="1" t="s">
        <v>1995</v>
      </c>
    </row>
    <row r="211" spans="1:11" x14ac:dyDescent="0.2">
      <c r="A211" s="1" t="s">
        <v>4581</v>
      </c>
      <c r="B211" s="1">
        <v>0</v>
      </c>
    </row>
    <row r="212" spans="1:11" x14ac:dyDescent="0.2">
      <c r="A212" s="1" t="s">
        <v>4582</v>
      </c>
      <c r="B212" s="1">
        <v>8</v>
      </c>
    </row>
    <row r="214" spans="1:11" x14ac:dyDescent="0.2">
      <c r="A214" s="1" t="s">
        <v>1996</v>
      </c>
    </row>
    <row r="215" spans="1:11" x14ac:dyDescent="0.2">
      <c r="A215" s="1" t="s">
        <v>1997</v>
      </c>
    </row>
    <row r="217" spans="1:11" x14ac:dyDescent="0.2">
      <c r="A217" s="2" t="s">
        <v>2790</v>
      </c>
    </row>
    <row r="218" spans="1:11" ht="17" thickBot="1" x14ac:dyDescent="0.25"/>
    <row r="219" spans="1:11" x14ac:dyDescent="0.2">
      <c r="A219" s="7" t="s">
        <v>4583</v>
      </c>
      <c r="B219" s="3"/>
      <c r="C219" s="3"/>
      <c r="D219" s="3"/>
      <c r="F219" s="18"/>
      <c r="G219" s="100" t="s">
        <v>4558</v>
      </c>
      <c r="H219" s="100"/>
      <c r="I219" s="426" t="s">
        <v>4556</v>
      </c>
      <c r="J219" s="100"/>
      <c r="K219" s="19"/>
    </row>
    <row r="220" spans="1:11" x14ac:dyDescent="0.2">
      <c r="A220" s="3" t="s">
        <v>1998</v>
      </c>
      <c r="B220" s="3">
        <f>B209/B212</f>
        <v>75</v>
      </c>
      <c r="C220" s="3"/>
      <c r="D220" s="3" t="s">
        <v>2789</v>
      </c>
      <c r="F220" s="106"/>
      <c r="G220" s="1" t="s">
        <v>4559</v>
      </c>
      <c r="H220" s="1" t="s">
        <v>4563</v>
      </c>
      <c r="I220" s="68" t="s">
        <v>2991</v>
      </c>
      <c r="K220" s="107"/>
    </row>
    <row r="221" spans="1:11" x14ac:dyDescent="0.2">
      <c r="A221" s="3" t="s">
        <v>1999</v>
      </c>
      <c r="B221" s="3">
        <f>B220</f>
        <v>75</v>
      </c>
      <c r="C221" s="3"/>
      <c r="D221" s="3"/>
      <c r="F221" s="106"/>
      <c r="G221" s="25" t="s">
        <v>4560</v>
      </c>
      <c r="H221" s="25" t="s">
        <v>4564</v>
      </c>
      <c r="I221" s="718" t="s">
        <v>4562</v>
      </c>
      <c r="K221" s="107"/>
    </row>
    <row r="222" spans="1:11" x14ac:dyDescent="0.2">
      <c r="B222" s="1" t="s">
        <v>2767</v>
      </c>
      <c r="C222" s="1" t="s">
        <v>836</v>
      </c>
      <c r="D222" s="1" t="s">
        <v>2788</v>
      </c>
      <c r="F222" s="106" t="s">
        <v>677</v>
      </c>
      <c r="G222" s="1">
        <v>600</v>
      </c>
      <c r="H222" s="13">
        <v>0</v>
      </c>
      <c r="I222" s="724">
        <f>G222</f>
        <v>600</v>
      </c>
      <c r="K222" s="107"/>
    </row>
    <row r="223" spans="1:11" x14ac:dyDescent="0.2">
      <c r="B223" s="1" t="s">
        <v>2786</v>
      </c>
      <c r="F223" s="106" t="s">
        <v>4557</v>
      </c>
      <c r="G223" s="1">
        <f>B210</f>
        <v>262.5</v>
      </c>
      <c r="H223" s="13">
        <f>B221</f>
        <v>75</v>
      </c>
      <c r="I223" s="719">
        <f>G223+B220</f>
        <v>337.5</v>
      </c>
      <c r="K223" s="107"/>
    </row>
    <row r="224" spans="1:11" ht="17" thickBot="1" x14ac:dyDescent="0.25">
      <c r="F224" s="20" t="s">
        <v>2664</v>
      </c>
      <c r="G224" s="103">
        <v>1.5</v>
      </c>
      <c r="H224" s="266">
        <f>B220</f>
        <v>75</v>
      </c>
      <c r="I224" s="725">
        <f>G224+B220</f>
        <v>76.5</v>
      </c>
      <c r="J224" s="103" t="s">
        <v>4561</v>
      </c>
      <c r="K224" s="21"/>
    </row>
    <row r="225" spans="1:7" x14ac:dyDescent="0.2">
      <c r="A225" s="1" t="s">
        <v>2000</v>
      </c>
    </row>
    <row r="226" spans="1:7" x14ac:dyDescent="0.2">
      <c r="A226" s="1" t="s">
        <v>2001</v>
      </c>
    </row>
    <row r="228" spans="1:7" x14ac:dyDescent="0.2">
      <c r="A228" s="1" t="s">
        <v>2002</v>
      </c>
    </row>
    <row r="229" spans="1:7" ht="17" thickBot="1" x14ac:dyDescent="0.25">
      <c r="B229" s="158" t="s">
        <v>415</v>
      </c>
    </row>
    <row r="230" spans="1:7" x14ac:dyDescent="0.2">
      <c r="A230" s="1" t="s">
        <v>677</v>
      </c>
      <c r="B230" s="6">
        <f>B209</f>
        <v>600</v>
      </c>
    </row>
    <row r="231" spans="1:7" x14ac:dyDescent="0.2">
      <c r="A231" s="1" t="s">
        <v>650</v>
      </c>
      <c r="B231" s="46">
        <f>-75*4.5</f>
        <v>-337.5</v>
      </c>
      <c r="F231" s="1" t="s">
        <v>2006</v>
      </c>
    </row>
    <row r="232" spans="1:7" x14ac:dyDescent="0.2">
      <c r="A232" s="1" t="s">
        <v>2007</v>
      </c>
      <c r="B232" s="328">
        <f>B230+B231</f>
        <v>262.5</v>
      </c>
    </row>
    <row r="233" spans="1:7" x14ac:dyDescent="0.2">
      <c r="C233" s="1" t="s">
        <v>2004</v>
      </c>
      <c r="E233" s="1" t="s">
        <v>837</v>
      </c>
      <c r="G233" s="1" t="s">
        <v>1926</v>
      </c>
    </row>
    <row r="234" spans="1:7" x14ac:dyDescent="0.2">
      <c r="C234" s="1" t="s">
        <v>2005</v>
      </c>
      <c r="F234" s="1" t="s">
        <v>2003</v>
      </c>
    </row>
    <row r="236" spans="1:7" x14ac:dyDescent="0.2">
      <c r="A236" s="1" t="s">
        <v>2008</v>
      </c>
    </row>
    <row r="238" spans="1:7" x14ac:dyDescent="0.2">
      <c r="A238" s="1" t="s">
        <v>4565</v>
      </c>
      <c r="B238" s="475">
        <f>B240-B239</f>
        <v>272.5</v>
      </c>
    </row>
    <row r="239" spans="1:7" x14ac:dyDescent="0.2">
      <c r="A239" s="1" t="s">
        <v>2007</v>
      </c>
      <c r="B239" s="6">
        <f>-B232</f>
        <v>-262.5</v>
      </c>
    </row>
    <row r="240" spans="1:7" ht="17" thickBot="1" x14ac:dyDescent="0.25">
      <c r="A240" s="1" t="s">
        <v>2009</v>
      </c>
      <c r="B240" s="549">
        <v>10</v>
      </c>
    </row>
    <row r="241" spans="1:11" ht="17" thickBot="1" x14ac:dyDescent="0.25">
      <c r="G241" s="18"/>
      <c r="H241" s="100" t="s">
        <v>4546</v>
      </c>
      <c r="I241" s="100" t="s">
        <v>4566</v>
      </c>
      <c r="J241" s="721" t="s">
        <v>4567</v>
      </c>
      <c r="K241" s="19"/>
    </row>
    <row r="242" spans="1:11" x14ac:dyDescent="0.2">
      <c r="A242" s="18" t="s">
        <v>2014</v>
      </c>
      <c r="B242" s="100"/>
      <c r="C242" s="100"/>
      <c r="D242" s="100"/>
      <c r="E242" s="100"/>
      <c r="F242" s="100"/>
      <c r="G242" s="106"/>
      <c r="H242" s="1" t="s">
        <v>3127</v>
      </c>
      <c r="I242" s="1" t="s">
        <v>3127</v>
      </c>
      <c r="J242" s="722" t="s">
        <v>3127</v>
      </c>
      <c r="K242" s="107"/>
    </row>
    <row r="243" spans="1:11" x14ac:dyDescent="0.2">
      <c r="A243" s="106" t="s">
        <v>2010</v>
      </c>
      <c r="C243" s="1" t="s">
        <v>156</v>
      </c>
      <c r="D243" s="1" t="s">
        <v>245</v>
      </c>
      <c r="F243" s="1">
        <v>600</v>
      </c>
      <c r="G243" s="106" t="s">
        <v>245</v>
      </c>
      <c r="H243" s="1">
        <f>I222</f>
        <v>600</v>
      </c>
      <c r="I243" s="13">
        <f>-H243</f>
        <v>-600</v>
      </c>
      <c r="J243" s="726">
        <v>0</v>
      </c>
      <c r="K243" s="107"/>
    </row>
    <row r="244" spans="1:11" x14ac:dyDescent="0.2">
      <c r="A244" s="106" t="s">
        <v>2011</v>
      </c>
      <c r="C244" s="1" t="s">
        <v>155</v>
      </c>
      <c r="D244" s="1" t="s">
        <v>3504</v>
      </c>
      <c r="F244" s="8">
        <f>-B231</f>
        <v>337.5</v>
      </c>
      <c r="G244" s="106" t="s">
        <v>4568</v>
      </c>
      <c r="H244" s="1">
        <f>I223</f>
        <v>337.5</v>
      </c>
      <c r="I244" s="13">
        <f>-H244</f>
        <v>-337.5</v>
      </c>
      <c r="J244" s="726">
        <v>0</v>
      </c>
      <c r="K244" s="107"/>
    </row>
    <row r="245" spans="1:11" x14ac:dyDescent="0.2">
      <c r="A245" s="106" t="s">
        <v>2012</v>
      </c>
      <c r="C245" s="1" t="s">
        <v>155</v>
      </c>
      <c r="D245" s="1" t="s">
        <v>133</v>
      </c>
      <c r="F245" s="3">
        <f>B238</f>
        <v>272.5</v>
      </c>
      <c r="G245" s="106" t="s">
        <v>133</v>
      </c>
      <c r="H245" s="1">
        <v>320</v>
      </c>
      <c r="I245" s="13">
        <f>F245</f>
        <v>272.5</v>
      </c>
      <c r="J245" s="726">
        <f>H245+I245</f>
        <v>592.5</v>
      </c>
      <c r="K245" s="107"/>
    </row>
    <row r="246" spans="1:11" ht="17" thickBot="1" x14ac:dyDescent="0.25">
      <c r="A246" s="20" t="s">
        <v>2013</v>
      </c>
      <c r="B246" s="103"/>
      <c r="C246" s="103" t="s">
        <v>156</v>
      </c>
      <c r="D246" s="103" t="s">
        <v>741</v>
      </c>
      <c r="E246" s="103"/>
      <c r="F246" s="720">
        <f>B240</f>
        <v>10</v>
      </c>
      <c r="G246" s="20" t="s">
        <v>741</v>
      </c>
      <c r="H246" s="103">
        <v>0</v>
      </c>
      <c r="I246" s="266">
        <f>F246</f>
        <v>10</v>
      </c>
      <c r="J246" s="727">
        <f>H246+I246</f>
        <v>10</v>
      </c>
      <c r="K246" s="21" t="s">
        <v>4584</v>
      </c>
    </row>
    <row r="248" spans="1:11" x14ac:dyDescent="0.2">
      <c r="A248" s="2" t="s">
        <v>2015</v>
      </c>
    </row>
    <row r="249" spans="1:11" x14ac:dyDescent="0.2">
      <c r="A249" s="1" t="s">
        <v>2016</v>
      </c>
      <c r="B249" s="1">
        <v>75</v>
      </c>
    </row>
    <row r="250" spans="1:11" x14ac:dyDescent="0.2">
      <c r="A250" s="1" t="s">
        <v>2017</v>
      </c>
      <c r="B250" s="1">
        <v>0</v>
      </c>
    </row>
    <row r="251" spans="1:11" x14ac:dyDescent="0.2">
      <c r="A251" s="1" t="s">
        <v>2018</v>
      </c>
      <c r="B251" s="1">
        <v>0</v>
      </c>
    </row>
    <row r="252" spans="1:11" x14ac:dyDescent="0.2">
      <c r="A252" s="1" t="s">
        <v>2019</v>
      </c>
      <c r="B252" s="1">
        <f>F245</f>
        <v>272.5</v>
      </c>
    </row>
    <row r="253" spans="1:11" x14ac:dyDescent="0.2">
      <c r="A253" s="1" t="s">
        <v>2020</v>
      </c>
      <c r="B253" s="1">
        <f>F246</f>
        <v>10</v>
      </c>
    </row>
    <row r="256" spans="1:11" x14ac:dyDescent="0.2">
      <c r="A256" s="110" t="s">
        <v>2024</v>
      </c>
    </row>
    <row r="261" spans="1:17" x14ac:dyDescent="0.2">
      <c r="A261" s="1" t="s">
        <v>2025</v>
      </c>
    </row>
    <row r="262" spans="1:17" ht="17" thickBot="1" x14ac:dyDescent="0.25">
      <c r="A262" s="1" t="s">
        <v>2026</v>
      </c>
    </row>
    <row r="263" spans="1:17" x14ac:dyDescent="0.2">
      <c r="H263" s="18"/>
      <c r="I263" s="179" t="s">
        <v>4546</v>
      </c>
      <c r="J263" s="179" t="s">
        <v>4570</v>
      </c>
      <c r="K263" s="179" t="s">
        <v>4567</v>
      </c>
      <c r="L263" s="19"/>
    </row>
    <row r="264" spans="1:17" x14ac:dyDescent="0.2">
      <c r="A264" s="3" t="s">
        <v>2027</v>
      </c>
      <c r="B264" s="3">
        <v>7</v>
      </c>
      <c r="D264" s="1" t="s">
        <v>2029</v>
      </c>
      <c r="H264" s="106" t="s">
        <v>1250</v>
      </c>
      <c r="I264" s="6">
        <v>80</v>
      </c>
      <c r="J264" s="6">
        <v>7</v>
      </c>
      <c r="K264" s="6">
        <f>I264+J264</f>
        <v>87</v>
      </c>
      <c r="L264" s="107"/>
    </row>
    <row r="265" spans="1:17" ht="17" thickBot="1" x14ac:dyDescent="0.25">
      <c r="A265" s="3" t="s">
        <v>2028</v>
      </c>
      <c r="B265" s="3">
        <f>B264</f>
        <v>7</v>
      </c>
      <c r="D265" s="1" t="s">
        <v>2030</v>
      </c>
      <c r="H265" s="20" t="s">
        <v>4569</v>
      </c>
      <c r="I265" s="158">
        <v>0</v>
      </c>
      <c r="J265" s="158">
        <v>7</v>
      </c>
      <c r="K265" s="158">
        <f>J265</f>
        <v>7</v>
      </c>
      <c r="L265" s="21" t="s">
        <v>4585</v>
      </c>
    </row>
    <row r="269" spans="1:17" x14ac:dyDescent="0.2">
      <c r="A269" s="2" t="s">
        <v>1924</v>
      </c>
    </row>
    <row r="271" spans="1:17" x14ac:dyDescent="0.2">
      <c r="I271" s="907" t="s">
        <v>4571</v>
      </c>
      <c r="J271" s="907"/>
      <c r="K271" s="907"/>
      <c r="L271" s="907"/>
      <c r="M271" s="907"/>
      <c r="O271" s="2" t="s">
        <v>4572</v>
      </c>
      <c r="P271" s="2"/>
      <c r="Q271" s="2"/>
    </row>
    <row r="272" spans="1:17" ht="19" customHeight="1" x14ac:dyDescent="0.2">
      <c r="A272" s="326" t="s">
        <v>9</v>
      </c>
      <c r="B272" s="326" t="s">
        <v>107</v>
      </c>
      <c r="C272" s="327" t="s">
        <v>6</v>
      </c>
      <c r="D272" s="327" t="s">
        <v>7</v>
      </c>
      <c r="E272" s="327" t="s">
        <v>1614</v>
      </c>
      <c r="F272" s="327" t="s">
        <v>4</v>
      </c>
      <c r="G272" s="327" t="s">
        <v>5</v>
      </c>
    </row>
    <row r="273" spans="1:17" ht="19" customHeight="1" thickBot="1" x14ac:dyDescent="0.25">
      <c r="A273" s="322" t="s">
        <v>1238</v>
      </c>
      <c r="B273" s="324">
        <v>320</v>
      </c>
      <c r="C273" s="336">
        <f>320+272.5</f>
        <v>592.5</v>
      </c>
      <c r="D273" s="323"/>
      <c r="E273" s="323"/>
      <c r="F273" s="323"/>
      <c r="G273" s="323"/>
      <c r="I273" s="154" t="s">
        <v>6</v>
      </c>
      <c r="J273" s="154"/>
      <c r="K273" s="154"/>
      <c r="L273" s="154" t="s">
        <v>1042</v>
      </c>
      <c r="M273" s="154"/>
      <c r="O273" s="1" t="s">
        <v>68</v>
      </c>
      <c r="Q273" s="6"/>
    </row>
    <row r="274" spans="1:17" ht="19" customHeight="1" x14ac:dyDescent="0.2">
      <c r="A274" s="322" t="s">
        <v>1918</v>
      </c>
      <c r="B274" s="324">
        <v>80</v>
      </c>
      <c r="C274" s="323"/>
      <c r="D274" s="323"/>
      <c r="E274" s="323"/>
      <c r="F274" s="323"/>
      <c r="G274" s="336">
        <v>110</v>
      </c>
      <c r="O274" s="1" t="s">
        <v>95</v>
      </c>
      <c r="Q274" s="6"/>
    </row>
    <row r="275" spans="1:17" ht="19" customHeight="1" thickBot="1" x14ac:dyDescent="0.25">
      <c r="A275" s="322" t="s">
        <v>14</v>
      </c>
      <c r="B275" s="324">
        <v>500</v>
      </c>
      <c r="C275" s="323">
        <v>500</v>
      </c>
      <c r="D275" s="323"/>
      <c r="E275" s="323"/>
      <c r="F275" s="323"/>
      <c r="G275" s="323"/>
      <c r="O275" s="1" t="s">
        <v>71</v>
      </c>
      <c r="Q275" s="343"/>
    </row>
    <row r="276" spans="1:17" ht="19" customHeight="1" x14ac:dyDescent="0.2">
      <c r="A276" s="322" t="s">
        <v>12</v>
      </c>
      <c r="B276" s="324">
        <v>300</v>
      </c>
      <c r="C276" s="323">
        <v>300</v>
      </c>
      <c r="D276" s="323"/>
      <c r="E276" s="323"/>
      <c r="F276" s="323"/>
      <c r="G276" s="323"/>
      <c r="I276" s="18" t="s">
        <v>1431</v>
      </c>
      <c r="J276" s="19"/>
      <c r="L276" s="18" t="s">
        <v>1434</v>
      </c>
      <c r="M276" s="19"/>
      <c r="O276" s="1" t="s">
        <v>2035</v>
      </c>
      <c r="Q276" s="6"/>
    </row>
    <row r="277" spans="1:17" ht="19" customHeight="1" x14ac:dyDescent="0.2">
      <c r="A277" s="322" t="s">
        <v>68</v>
      </c>
      <c r="B277" s="324">
        <v>700</v>
      </c>
      <c r="C277" s="323"/>
      <c r="D277" s="323"/>
      <c r="E277" s="323"/>
      <c r="F277" s="323">
        <v>700</v>
      </c>
      <c r="G277" s="323"/>
      <c r="I277" s="106" t="s">
        <v>133</v>
      </c>
      <c r="J277" s="107"/>
      <c r="L277" s="106" t="s">
        <v>22</v>
      </c>
      <c r="M277" s="107"/>
      <c r="O277" s="1" t="s">
        <v>2036</v>
      </c>
      <c r="Q277" s="6"/>
    </row>
    <row r="278" spans="1:17" ht="19" customHeight="1" x14ac:dyDescent="0.2">
      <c r="A278" s="322" t="s">
        <v>16</v>
      </c>
      <c r="B278" s="324">
        <v>20</v>
      </c>
      <c r="C278" s="323"/>
      <c r="D278" s="323">
        <v>20</v>
      </c>
      <c r="E278" s="323"/>
      <c r="F278" s="323"/>
      <c r="G278" s="323"/>
      <c r="I278" s="106" t="s">
        <v>14</v>
      </c>
      <c r="J278" s="107"/>
      <c r="L278" s="106" t="s">
        <v>16</v>
      </c>
      <c r="M278" s="107"/>
      <c r="O278" s="1" t="s">
        <v>1437</v>
      </c>
      <c r="Q278" s="6"/>
    </row>
    <row r="279" spans="1:17" ht="19" customHeight="1" thickBot="1" x14ac:dyDescent="0.25">
      <c r="A279" s="325" t="s">
        <v>1979</v>
      </c>
      <c r="B279" s="324">
        <v>30</v>
      </c>
      <c r="C279" s="336">
        <v>0</v>
      </c>
      <c r="D279" s="323"/>
      <c r="E279" s="323"/>
      <c r="F279" s="323"/>
      <c r="G279" s="323"/>
      <c r="I279" s="106" t="s">
        <v>4573</v>
      </c>
      <c r="J279" s="107"/>
      <c r="L279" s="106" t="s">
        <v>4574</v>
      </c>
      <c r="M279" s="107"/>
      <c r="O279" s="1" t="s">
        <v>1503</v>
      </c>
      <c r="Q279" s="343"/>
    </row>
    <row r="280" spans="1:17" ht="19" customHeight="1" thickBot="1" x14ac:dyDescent="0.25">
      <c r="A280" s="325" t="s">
        <v>22</v>
      </c>
      <c r="B280" s="324">
        <v>50</v>
      </c>
      <c r="C280" s="323"/>
      <c r="D280" s="323">
        <v>50</v>
      </c>
      <c r="E280" s="323"/>
      <c r="F280" s="323"/>
      <c r="G280" s="323"/>
      <c r="I280" s="106"/>
      <c r="J280" s="107"/>
      <c r="L280" s="106" t="s">
        <v>4574</v>
      </c>
      <c r="M280" s="107"/>
      <c r="O280" s="1" t="s">
        <v>1188</v>
      </c>
      <c r="Q280" s="6"/>
    </row>
    <row r="281" spans="1:17" ht="19" customHeight="1" thickBot="1" x14ac:dyDescent="0.25">
      <c r="A281" s="322" t="s">
        <v>24</v>
      </c>
      <c r="B281" s="324">
        <v>90</v>
      </c>
      <c r="C281" s="323"/>
      <c r="D281" s="323"/>
      <c r="E281" s="323">
        <v>90</v>
      </c>
      <c r="F281" s="323"/>
      <c r="G281" s="323"/>
      <c r="I281" s="20"/>
      <c r="J281" s="22"/>
      <c r="L281" s="20"/>
      <c r="M281" s="22"/>
      <c r="O281" s="1" t="s">
        <v>1189</v>
      </c>
      <c r="Q281" s="6"/>
    </row>
    <row r="282" spans="1:17" ht="19" customHeight="1" thickBot="1" x14ac:dyDescent="0.25">
      <c r="A282" s="322" t="s">
        <v>259</v>
      </c>
      <c r="B282" s="324">
        <v>300</v>
      </c>
      <c r="C282" s="323"/>
      <c r="D282" s="323"/>
      <c r="E282" s="323"/>
      <c r="F282" s="323"/>
      <c r="G282" s="323">
        <v>300</v>
      </c>
      <c r="O282" s="1" t="s">
        <v>1504</v>
      </c>
      <c r="Q282" s="343"/>
    </row>
    <row r="283" spans="1:17" ht="19" customHeight="1" thickBot="1" x14ac:dyDescent="0.25">
      <c r="A283" s="322" t="s">
        <v>1278</v>
      </c>
      <c r="B283" s="324">
        <v>50</v>
      </c>
      <c r="C283" s="323"/>
      <c r="D283" s="323"/>
      <c r="E283" s="323"/>
      <c r="F283" s="323"/>
      <c r="G283" s="323">
        <v>50</v>
      </c>
      <c r="O283" s="1" t="s">
        <v>1505</v>
      </c>
      <c r="Q283" s="6"/>
    </row>
    <row r="284" spans="1:17" ht="19" customHeight="1" thickBot="1" x14ac:dyDescent="0.25">
      <c r="A284" s="322" t="s">
        <v>1297</v>
      </c>
      <c r="B284" s="324" t="s">
        <v>26</v>
      </c>
      <c r="C284" s="323"/>
      <c r="D284" s="323"/>
      <c r="E284" s="323">
        <v>1124.5</v>
      </c>
      <c r="F284" s="323"/>
      <c r="G284" s="323"/>
      <c r="I284" s="18" t="s">
        <v>1432</v>
      </c>
      <c r="J284" s="19"/>
      <c r="L284" s="18" t="s">
        <v>1520</v>
      </c>
      <c r="M284" s="19"/>
      <c r="O284" s="1" t="s">
        <v>1506</v>
      </c>
      <c r="Q284" s="343"/>
    </row>
    <row r="285" spans="1:17" ht="19" customHeight="1" x14ac:dyDescent="0.2">
      <c r="A285" s="325" t="s">
        <v>1241</v>
      </c>
      <c r="B285" s="324">
        <v>600</v>
      </c>
      <c r="C285" s="336">
        <v>0</v>
      </c>
      <c r="D285" s="323"/>
      <c r="E285" s="323"/>
      <c r="F285" s="323"/>
      <c r="G285" s="323"/>
      <c r="I285" s="106" t="s">
        <v>17</v>
      </c>
      <c r="J285" s="107"/>
      <c r="L285" s="106"/>
      <c r="M285" s="107"/>
    </row>
    <row r="286" spans="1:17" ht="19" customHeight="1" thickBot="1" x14ac:dyDescent="0.25">
      <c r="A286" s="325" t="s">
        <v>2022</v>
      </c>
      <c r="B286" s="324" t="s">
        <v>26</v>
      </c>
      <c r="C286" s="336">
        <v>0</v>
      </c>
      <c r="D286" s="323"/>
      <c r="E286" s="323"/>
      <c r="F286" s="323"/>
      <c r="G286" s="323"/>
      <c r="I286" s="106"/>
      <c r="J286" s="107"/>
      <c r="L286" s="106"/>
      <c r="M286" s="107"/>
    </row>
    <row r="287" spans="1:17" ht="19" customHeight="1" thickBot="1" x14ac:dyDescent="0.25">
      <c r="A287" s="325" t="s">
        <v>109</v>
      </c>
      <c r="B287" s="324">
        <v>20</v>
      </c>
      <c r="C287" s="323"/>
      <c r="D287" s="323"/>
      <c r="E287" s="323"/>
      <c r="F287" s="323">
        <v>20</v>
      </c>
      <c r="G287" s="323"/>
      <c r="I287" s="20"/>
      <c r="J287" s="22"/>
      <c r="L287" s="20"/>
      <c r="M287" s="22"/>
    </row>
    <row r="288" spans="1:17" ht="19" customHeight="1" thickBot="1" x14ac:dyDescent="0.25">
      <c r="A288" s="325" t="s">
        <v>1246</v>
      </c>
      <c r="B288" s="324">
        <v>100</v>
      </c>
      <c r="C288" s="323">
        <v>100</v>
      </c>
      <c r="D288" s="323"/>
      <c r="E288" s="323"/>
      <c r="F288" s="323"/>
      <c r="G288" s="323"/>
    </row>
    <row r="289" spans="1:14" ht="19" customHeight="1" x14ac:dyDescent="0.2">
      <c r="A289" s="325" t="s">
        <v>1920</v>
      </c>
      <c r="B289" s="324">
        <v>50</v>
      </c>
      <c r="C289" s="323">
        <v>50</v>
      </c>
      <c r="D289" s="323"/>
      <c r="E289" s="323"/>
      <c r="F289" s="323"/>
      <c r="G289" s="323"/>
      <c r="L289" s="18" t="s">
        <v>124</v>
      </c>
      <c r="M289" s="19"/>
    </row>
    <row r="290" spans="1:14" ht="19" customHeight="1" x14ac:dyDescent="0.2">
      <c r="A290" s="322" t="s">
        <v>23</v>
      </c>
      <c r="B290" s="324">
        <v>100</v>
      </c>
      <c r="C290" s="323"/>
      <c r="D290" s="323">
        <v>100</v>
      </c>
      <c r="E290" s="323"/>
      <c r="F290" s="323"/>
      <c r="G290" s="323"/>
      <c r="L290" s="106" t="s">
        <v>24</v>
      </c>
      <c r="M290" s="107"/>
    </row>
    <row r="291" spans="1:14" ht="19" customHeight="1" thickBot="1" x14ac:dyDescent="0.25">
      <c r="A291" s="325" t="s">
        <v>258</v>
      </c>
      <c r="B291" s="324">
        <v>20</v>
      </c>
      <c r="C291" s="323"/>
      <c r="D291" s="323"/>
      <c r="E291" s="323"/>
      <c r="F291" s="323"/>
      <c r="G291" s="323">
        <v>20</v>
      </c>
      <c r="L291" s="106" t="s">
        <v>1164</v>
      </c>
      <c r="M291" s="107"/>
      <c r="N291" s="1" t="s">
        <v>4575</v>
      </c>
    </row>
    <row r="292" spans="1:14" ht="19" customHeight="1" thickBot="1" x14ac:dyDescent="0.25">
      <c r="A292" s="325" t="s">
        <v>1250</v>
      </c>
      <c r="B292" s="324">
        <v>80</v>
      </c>
      <c r="C292" s="323"/>
      <c r="D292" s="323"/>
      <c r="E292" s="323"/>
      <c r="F292" s="336">
        <f>80+7</f>
        <v>87</v>
      </c>
      <c r="G292" s="323"/>
      <c r="L292" s="20"/>
      <c r="M292" s="22"/>
    </row>
    <row r="293" spans="1:14" ht="19" customHeight="1" thickBot="1" x14ac:dyDescent="0.25">
      <c r="A293" s="325" t="s">
        <v>1921</v>
      </c>
      <c r="B293" s="324">
        <v>20</v>
      </c>
      <c r="C293" s="323"/>
      <c r="D293" s="323"/>
      <c r="E293" s="323"/>
      <c r="F293" s="323"/>
      <c r="G293" s="323">
        <v>20</v>
      </c>
    </row>
    <row r="294" spans="1:14" ht="19" customHeight="1" thickBot="1" x14ac:dyDescent="0.25">
      <c r="A294" s="325" t="s">
        <v>1252</v>
      </c>
      <c r="B294" s="324">
        <v>10</v>
      </c>
      <c r="C294" s="323"/>
      <c r="D294" s="323"/>
      <c r="E294" s="323"/>
      <c r="F294" s="323"/>
      <c r="G294" s="323">
        <v>10</v>
      </c>
      <c r="I294" s="1" t="s">
        <v>1433</v>
      </c>
      <c r="J294" s="22"/>
      <c r="L294" s="1" t="s">
        <v>1169</v>
      </c>
      <c r="M294" s="22"/>
    </row>
    <row r="295" spans="1:14" ht="19" customHeight="1" x14ac:dyDescent="0.2">
      <c r="A295" s="325" t="s">
        <v>1253</v>
      </c>
      <c r="B295" s="324">
        <v>30</v>
      </c>
      <c r="C295" s="323"/>
      <c r="D295" s="323"/>
      <c r="E295" s="323"/>
      <c r="F295" s="323"/>
      <c r="G295" s="323">
        <v>30</v>
      </c>
    </row>
    <row r="296" spans="1:14" ht="19" customHeight="1" x14ac:dyDescent="0.2">
      <c r="A296" s="325" t="s">
        <v>260</v>
      </c>
      <c r="B296" s="324">
        <v>15</v>
      </c>
      <c r="C296" s="323"/>
      <c r="D296" s="323"/>
      <c r="E296" s="323"/>
      <c r="F296" s="323"/>
      <c r="G296" s="323">
        <v>15</v>
      </c>
    </row>
    <row r="297" spans="1:14" ht="19" customHeight="1" x14ac:dyDescent="0.2">
      <c r="A297" s="325" t="s">
        <v>1922</v>
      </c>
      <c r="B297" s="324">
        <v>22</v>
      </c>
      <c r="C297" s="323"/>
      <c r="D297" s="323"/>
      <c r="E297" s="323"/>
      <c r="F297" s="323"/>
      <c r="G297" s="323">
        <v>22</v>
      </c>
    </row>
    <row r="298" spans="1:14" ht="19" customHeight="1" x14ac:dyDescent="0.2">
      <c r="A298" s="325" t="s">
        <v>1255</v>
      </c>
      <c r="B298" s="324" t="s">
        <v>26</v>
      </c>
      <c r="C298" s="323">
        <v>50</v>
      </c>
      <c r="D298" s="323"/>
      <c r="E298" s="323"/>
      <c r="F298" s="323"/>
      <c r="G298" s="323"/>
    </row>
    <row r="299" spans="1:14" ht="19" customHeight="1" x14ac:dyDescent="0.2">
      <c r="A299" s="325" t="s">
        <v>1256</v>
      </c>
      <c r="B299" s="324" t="s">
        <v>26</v>
      </c>
      <c r="C299" s="323"/>
      <c r="D299" s="323"/>
      <c r="E299" s="323"/>
      <c r="F299" s="323"/>
      <c r="G299" s="323">
        <v>-50</v>
      </c>
    </row>
    <row r="300" spans="1:14" ht="20" customHeight="1" x14ac:dyDescent="0.2">
      <c r="A300" s="337" t="s">
        <v>2021</v>
      </c>
      <c r="B300" s="338"/>
      <c r="C300" s="339"/>
      <c r="D300" s="339"/>
      <c r="E300" s="339"/>
      <c r="F300" s="339"/>
      <c r="G300" s="339">
        <f>B196+75</f>
        <v>76.5</v>
      </c>
    </row>
    <row r="301" spans="1:14" ht="17" x14ac:dyDescent="0.2">
      <c r="A301" s="337" t="s">
        <v>1991</v>
      </c>
      <c r="B301" s="340"/>
      <c r="C301" s="339">
        <f>-1.5</f>
        <v>-1.5</v>
      </c>
      <c r="D301" s="323"/>
      <c r="E301" s="323"/>
      <c r="F301" s="323"/>
      <c r="G301" s="323"/>
    </row>
    <row r="302" spans="1:14" ht="17" x14ac:dyDescent="0.2">
      <c r="A302" s="337" t="s">
        <v>2023</v>
      </c>
      <c r="B302" s="324"/>
      <c r="C302" s="323"/>
      <c r="D302" s="323"/>
      <c r="E302" s="323"/>
      <c r="F302" s="339">
        <v>10</v>
      </c>
      <c r="G302" s="323"/>
    </row>
    <row r="303" spans="1:14" ht="17" x14ac:dyDescent="0.2">
      <c r="A303" s="337" t="s">
        <v>2031</v>
      </c>
      <c r="B303" s="338"/>
      <c r="C303" s="341">
        <v>7</v>
      </c>
      <c r="D303" s="323"/>
      <c r="E303" s="323"/>
      <c r="F303" s="323"/>
      <c r="G303" s="323"/>
    </row>
    <row r="304" spans="1:14" x14ac:dyDescent="0.2">
      <c r="A304" s="1" t="s">
        <v>2032</v>
      </c>
      <c r="C304" s="52">
        <f>SUM(C273:C303)</f>
        <v>1598</v>
      </c>
      <c r="D304" s="52">
        <f>SUM(D273:D303)</f>
        <v>170</v>
      </c>
      <c r="E304" s="52">
        <f>SUM(E273:E303)</f>
        <v>1214.5</v>
      </c>
      <c r="F304" s="52">
        <f>SUM(F273:F303)</f>
        <v>817</v>
      </c>
      <c r="G304" s="52">
        <f>SUM(G273:G303)</f>
        <v>603.5</v>
      </c>
    </row>
    <row r="306" spans="1:4" x14ac:dyDescent="0.2">
      <c r="A306" s="2" t="s">
        <v>2033</v>
      </c>
    </row>
    <row r="308" spans="1:4" x14ac:dyDescent="0.2">
      <c r="A308" s="25" t="s">
        <v>2034</v>
      </c>
      <c r="B308" s="25"/>
      <c r="C308" s="25"/>
      <c r="D308" s="25"/>
    </row>
    <row r="310" spans="1:4" x14ac:dyDescent="0.2">
      <c r="A310" s="1" t="s">
        <v>68</v>
      </c>
      <c r="B310" s="6">
        <f>F277</f>
        <v>700</v>
      </c>
      <c r="C310" s="1" t="s">
        <v>2037</v>
      </c>
    </row>
    <row r="311" spans="1:4" x14ac:dyDescent="0.2">
      <c r="A311" s="1" t="s">
        <v>95</v>
      </c>
      <c r="B311" s="6">
        <f>-(50+300+0-0-0-50)</f>
        <v>-300</v>
      </c>
      <c r="C311" s="29" t="s">
        <v>2038</v>
      </c>
    </row>
    <row r="312" spans="1:4" ht="17" thickBot="1" x14ac:dyDescent="0.25">
      <c r="A312" s="1" t="s">
        <v>71</v>
      </c>
      <c r="B312" s="343">
        <f>B310+B311</f>
        <v>400</v>
      </c>
      <c r="D312" s="1" t="s">
        <v>2039</v>
      </c>
    </row>
    <row r="313" spans="1:4" x14ac:dyDescent="0.2">
      <c r="A313" s="1" t="s">
        <v>2035</v>
      </c>
      <c r="B313" s="6">
        <f>-G293-G295</f>
        <v>-50</v>
      </c>
      <c r="C313" s="1" t="s">
        <v>2040</v>
      </c>
    </row>
    <row r="314" spans="1:4" x14ac:dyDescent="0.2">
      <c r="A314" s="1" t="s">
        <v>2036</v>
      </c>
      <c r="B314" s="6">
        <f>-B329</f>
        <v>-233.5</v>
      </c>
    </row>
    <row r="315" spans="1:4" x14ac:dyDescent="0.2">
      <c r="A315" s="1" t="s">
        <v>1437</v>
      </c>
      <c r="B315" s="6">
        <v>10</v>
      </c>
      <c r="C315" s="1" t="s">
        <v>741</v>
      </c>
    </row>
    <row r="316" spans="1:4" ht="17" thickBot="1" x14ac:dyDescent="0.25">
      <c r="A316" s="1" t="s">
        <v>1503</v>
      </c>
      <c r="B316" s="343">
        <f>SUM(B312:B315)</f>
        <v>126.5</v>
      </c>
      <c r="D316" s="1" t="s">
        <v>2045</v>
      </c>
    </row>
    <row r="317" spans="1:4" x14ac:dyDescent="0.2">
      <c r="A317" s="1" t="s">
        <v>1188</v>
      </c>
      <c r="B317" s="6">
        <f>-G291</f>
        <v>-20</v>
      </c>
      <c r="C317" s="1" t="s">
        <v>2046</v>
      </c>
    </row>
    <row r="318" spans="1:4" x14ac:dyDescent="0.2">
      <c r="A318" s="1" t="s">
        <v>1189</v>
      </c>
      <c r="B318" s="6">
        <f>F292+F287</f>
        <v>107</v>
      </c>
      <c r="C318" s="1" t="s">
        <v>2047</v>
      </c>
    </row>
    <row r="319" spans="1:4" ht="17" thickBot="1" x14ac:dyDescent="0.25">
      <c r="A319" s="1" t="s">
        <v>1504</v>
      </c>
      <c r="B319" s="343">
        <f>B316+B317+B318</f>
        <v>213.5</v>
      </c>
      <c r="D319" s="1" t="s">
        <v>2048</v>
      </c>
    </row>
    <row r="320" spans="1:4" x14ac:dyDescent="0.2">
      <c r="A320" s="1" t="s">
        <v>1505</v>
      </c>
      <c r="B320" s="6">
        <v>0</v>
      </c>
      <c r="C320" s="1" t="s">
        <v>2049</v>
      </c>
    </row>
    <row r="321" spans="1:8" ht="17" thickBot="1" x14ac:dyDescent="0.25">
      <c r="A321" s="1" t="s">
        <v>1506</v>
      </c>
      <c r="B321" s="343">
        <f>B319-B320</f>
        <v>213.5</v>
      </c>
    </row>
    <row r="323" spans="1:8" x14ac:dyDescent="0.2">
      <c r="A323" s="25" t="s">
        <v>2041</v>
      </c>
    </row>
    <row r="324" spans="1:8" x14ac:dyDescent="0.2">
      <c r="A324" s="1" t="s">
        <v>1918</v>
      </c>
      <c r="B324" s="6">
        <v>110</v>
      </c>
    </row>
    <row r="325" spans="1:8" x14ac:dyDescent="0.2">
      <c r="A325" s="1" t="s">
        <v>2042</v>
      </c>
      <c r="B325" s="6">
        <v>10</v>
      </c>
    </row>
    <row r="326" spans="1:8" x14ac:dyDescent="0.2">
      <c r="A326" s="1" t="s">
        <v>260</v>
      </c>
      <c r="B326" s="6">
        <v>15</v>
      </c>
    </row>
    <row r="327" spans="1:8" x14ac:dyDescent="0.2">
      <c r="A327" s="1" t="s">
        <v>2043</v>
      </c>
      <c r="B327" s="6">
        <v>22</v>
      </c>
    </row>
    <row r="328" spans="1:8" x14ac:dyDescent="0.2">
      <c r="A328" s="1" t="s">
        <v>2044</v>
      </c>
      <c r="B328" s="6">
        <v>76.5</v>
      </c>
    </row>
    <row r="329" spans="1:8" x14ac:dyDescent="0.2">
      <c r="A329" s="1" t="s">
        <v>272</v>
      </c>
      <c r="B329" s="328">
        <f>SUM(B324:B328)</f>
        <v>233.5</v>
      </c>
    </row>
    <row r="331" spans="1:8" x14ac:dyDescent="0.2">
      <c r="A331" s="2" t="s">
        <v>2050</v>
      </c>
    </row>
    <row r="333" spans="1:8" ht="17" thickBot="1" x14ac:dyDescent="0.25">
      <c r="B333" s="154" t="s">
        <v>6</v>
      </c>
      <c r="C333" s="154"/>
      <c r="D333" s="154"/>
      <c r="E333" s="2"/>
      <c r="F333" s="154" t="s">
        <v>1042</v>
      </c>
      <c r="G333" s="154"/>
      <c r="H333" s="154"/>
    </row>
    <row r="335" spans="1:8" x14ac:dyDescent="0.2">
      <c r="B335" s="344" t="s">
        <v>1431</v>
      </c>
      <c r="C335" s="344"/>
      <c r="D335" s="344"/>
      <c r="F335" s="16" t="s">
        <v>1434</v>
      </c>
      <c r="G335" s="16"/>
      <c r="H335" s="16"/>
    </row>
    <row r="336" spans="1:8" x14ac:dyDescent="0.2">
      <c r="B336" s="1" t="s">
        <v>2051</v>
      </c>
      <c r="D336" s="1">
        <f>592.5+300</f>
        <v>892.5</v>
      </c>
      <c r="F336" s="1" t="s">
        <v>22</v>
      </c>
      <c r="H336" s="1">
        <v>50</v>
      </c>
    </row>
    <row r="337" spans="2:9" x14ac:dyDescent="0.2">
      <c r="B337" s="1" t="s">
        <v>14</v>
      </c>
      <c r="D337" s="1">
        <v>500</v>
      </c>
      <c r="F337" s="1" t="s">
        <v>16</v>
      </c>
      <c r="H337" s="1">
        <v>20</v>
      </c>
    </row>
    <row r="338" spans="2:9" ht="17" thickBot="1" x14ac:dyDescent="0.25">
      <c r="B338" s="1" t="s">
        <v>2052</v>
      </c>
      <c r="D338" s="1">
        <v>50</v>
      </c>
      <c r="F338" s="1" t="s">
        <v>1162</v>
      </c>
      <c r="H338" s="342">
        <f>SUM(H334:H337)</f>
        <v>70</v>
      </c>
    </row>
    <row r="339" spans="2:9" x14ac:dyDescent="0.2">
      <c r="B339" s="1" t="s">
        <v>2053</v>
      </c>
      <c r="D339" s="1">
        <v>7</v>
      </c>
    </row>
    <row r="340" spans="2:9" ht="17" thickBot="1" x14ac:dyDescent="0.25">
      <c r="B340" s="1" t="s">
        <v>1519</v>
      </c>
      <c r="D340" s="342">
        <f>SUM(D336:D339)</f>
        <v>1449.5</v>
      </c>
    </row>
    <row r="341" spans="2:9" x14ac:dyDescent="0.2">
      <c r="F341" s="16" t="s">
        <v>1520</v>
      </c>
      <c r="G341" s="16"/>
      <c r="H341" s="16"/>
    </row>
    <row r="342" spans="2:9" x14ac:dyDescent="0.2">
      <c r="F342" s="1" t="s">
        <v>23</v>
      </c>
      <c r="H342" s="1">
        <v>100</v>
      </c>
    </row>
    <row r="343" spans="2:9" ht="17" thickBot="1" x14ac:dyDescent="0.25">
      <c r="B343" s="344" t="s">
        <v>1432</v>
      </c>
      <c r="C343" s="344"/>
      <c r="D343" s="344"/>
      <c r="F343" s="1" t="s">
        <v>2056</v>
      </c>
      <c r="H343" s="342">
        <f>SUM(H339:H342)</f>
        <v>100</v>
      </c>
    </row>
    <row r="344" spans="2:9" x14ac:dyDescent="0.2">
      <c r="B344" s="1" t="s">
        <v>2054</v>
      </c>
      <c r="D344" s="1">
        <f>100-1.5</f>
        <v>98.5</v>
      </c>
    </row>
    <row r="345" spans="2:9" x14ac:dyDescent="0.2">
      <c r="B345" s="1" t="s">
        <v>2055</v>
      </c>
      <c r="D345" s="1">
        <v>50</v>
      </c>
    </row>
    <row r="346" spans="2:9" ht="17" thickBot="1" x14ac:dyDescent="0.25">
      <c r="B346" s="1" t="s">
        <v>1159</v>
      </c>
      <c r="D346" s="342">
        <f>D344+D345</f>
        <v>148.5</v>
      </c>
    </row>
    <row r="347" spans="2:9" x14ac:dyDescent="0.2">
      <c r="F347" s="16" t="s">
        <v>124</v>
      </c>
      <c r="G347" s="16"/>
      <c r="H347" s="16"/>
    </row>
    <row r="348" spans="2:9" x14ac:dyDescent="0.2">
      <c r="F348" s="1" t="s">
        <v>24</v>
      </c>
      <c r="H348" s="1">
        <v>90</v>
      </c>
    </row>
    <row r="349" spans="2:9" x14ac:dyDescent="0.2">
      <c r="F349" s="1" t="s">
        <v>2057</v>
      </c>
      <c r="H349" s="1">
        <f>G358</f>
        <v>1338</v>
      </c>
      <c r="I349" s="1" t="s">
        <v>1051</v>
      </c>
    </row>
    <row r="350" spans="2:9" ht="17" thickBot="1" x14ac:dyDescent="0.25">
      <c r="F350" s="1" t="s">
        <v>1170</v>
      </c>
      <c r="H350" s="342">
        <f>H348+H349</f>
        <v>1428</v>
      </c>
    </row>
    <row r="352" spans="2:9" x14ac:dyDescent="0.2">
      <c r="B352" s="344" t="s">
        <v>1433</v>
      </c>
      <c r="C352" s="344"/>
      <c r="D352" s="344">
        <f>D340+D346</f>
        <v>1598</v>
      </c>
      <c r="F352" s="16" t="s">
        <v>1435</v>
      </c>
      <c r="G352" s="16"/>
      <c r="H352" s="16">
        <f>D352</f>
        <v>1598</v>
      </c>
    </row>
    <row r="353" spans="7:8" x14ac:dyDescent="0.2">
      <c r="H353" s="1" t="s">
        <v>2058</v>
      </c>
    </row>
    <row r="354" spans="7:8" x14ac:dyDescent="0.2">
      <c r="H354" s="1" t="s">
        <v>2059</v>
      </c>
    </row>
    <row r="355" spans="7:8" x14ac:dyDescent="0.2">
      <c r="H355" s="1" t="s">
        <v>2060</v>
      </c>
    </row>
    <row r="357" spans="7:8" x14ac:dyDescent="0.2">
      <c r="H357" s="1" t="s">
        <v>2061</v>
      </c>
    </row>
    <row r="358" spans="7:8" x14ac:dyDescent="0.2">
      <c r="G358" s="6">
        <f>1598-90-100-70</f>
        <v>1338</v>
      </c>
      <c r="H358" s="6" t="s">
        <v>1051</v>
      </c>
    </row>
  </sheetData>
  <mergeCells count="2">
    <mergeCell ref="A1:H1"/>
    <mergeCell ref="I271:M271"/>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D41A5-D7F7-0342-8234-EF4FEC14F075}">
  <dimension ref="A1:Y339"/>
  <sheetViews>
    <sheetView rightToLeft="1" topLeftCell="K263" zoomScale="291" zoomScaleNormal="270" workbookViewId="0">
      <selection activeCell="R280" sqref="R280"/>
    </sheetView>
  </sheetViews>
  <sheetFormatPr baseColWidth="10" defaultRowHeight="16" x14ac:dyDescent="0.2"/>
  <cols>
    <col min="1" max="16384" width="10.83203125" style="1"/>
  </cols>
  <sheetData>
    <row r="1" spans="1:8" x14ac:dyDescent="0.2">
      <c r="A1" s="3" t="s">
        <v>4586</v>
      </c>
      <c r="B1" s="3"/>
      <c r="C1" s="3"/>
      <c r="D1" s="3"/>
      <c r="E1" s="3"/>
      <c r="F1" s="3"/>
      <c r="G1" s="3"/>
      <c r="H1" s="249">
        <v>46029</v>
      </c>
    </row>
    <row r="3" spans="1:8" x14ac:dyDescent="0.2">
      <c r="A3" s="25" t="s">
        <v>9</v>
      </c>
      <c r="B3" s="25"/>
      <c r="C3" s="25" t="s">
        <v>107</v>
      </c>
      <c r="D3" s="25" t="s">
        <v>6</v>
      </c>
      <c r="E3" s="25" t="s">
        <v>7</v>
      </c>
      <c r="F3" s="25" t="s">
        <v>124</v>
      </c>
      <c r="G3" s="25" t="s">
        <v>4</v>
      </c>
      <c r="H3" s="25" t="s">
        <v>5</v>
      </c>
    </row>
    <row r="4" spans="1:8" x14ac:dyDescent="0.2">
      <c r="A4" s="1" t="s">
        <v>24</v>
      </c>
      <c r="C4" s="1">
        <v>100</v>
      </c>
      <c r="F4" s="1">
        <f>C4</f>
        <v>100</v>
      </c>
    </row>
    <row r="5" spans="1:8" x14ac:dyDescent="0.2">
      <c r="A5" s="1" t="s">
        <v>1450</v>
      </c>
      <c r="C5" s="1">
        <v>29</v>
      </c>
      <c r="H5" s="1">
        <f>C5</f>
        <v>29</v>
      </c>
    </row>
    <row r="6" spans="1:8" x14ac:dyDescent="0.2">
      <c r="A6" s="1" t="s">
        <v>260</v>
      </c>
      <c r="C6" s="1">
        <v>12</v>
      </c>
      <c r="H6" s="1">
        <f t="shared" ref="H6:H12" si="0">C6</f>
        <v>12</v>
      </c>
    </row>
    <row r="7" spans="1:8" x14ac:dyDescent="0.2">
      <c r="A7" s="1" t="s">
        <v>1449</v>
      </c>
      <c r="C7" s="1">
        <v>13</v>
      </c>
      <c r="H7" s="1">
        <f t="shared" si="0"/>
        <v>13</v>
      </c>
    </row>
    <row r="8" spans="1:8" x14ac:dyDescent="0.2">
      <c r="A8" s="1" t="s">
        <v>4587</v>
      </c>
      <c r="C8" s="1">
        <v>24</v>
      </c>
      <c r="E8" s="1">
        <f>C8</f>
        <v>24</v>
      </c>
    </row>
    <row r="9" spans="1:8" x14ac:dyDescent="0.2">
      <c r="A9" s="1" t="s">
        <v>258</v>
      </c>
      <c r="C9" s="1">
        <v>17</v>
      </c>
      <c r="H9" s="1">
        <f t="shared" si="0"/>
        <v>17</v>
      </c>
    </row>
    <row r="10" spans="1:8" x14ac:dyDescent="0.2">
      <c r="A10" s="1" t="s">
        <v>4588</v>
      </c>
      <c r="C10" s="1">
        <v>22</v>
      </c>
      <c r="H10" s="1">
        <f t="shared" si="0"/>
        <v>22</v>
      </c>
    </row>
    <row r="11" spans="1:8" x14ac:dyDescent="0.2">
      <c r="A11" s="1" t="s">
        <v>4589</v>
      </c>
      <c r="C11" s="1">
        <v>72</v>
      </c>
      <c r="H11" s="1">
        <f t="shared" si="0"/>
        <v>72</v>
      </c>
    </row>
    <row r="12" spans="1:8" x14ac:dyDescent="0.2">
      <c r="A12" s="1" t="s">
        <v>4590</v>
      </c>
      <c r="C12" s="1">
        <v>15</v>
      </c>
      <c r="H12" s="1">
        <f t="shared" si="0"/>
        <v>15</v>
      </c>
    </row>
    <row r="13" spans="1:8" x14ac:dyDescent="0.2">
      <c r="A13" s="1" t="s">
        <v>100</v>
      </c>
      <c r="C13" s="1">
        <v>15</v>
      </c>
      <c r="H13" s="1">
        <f>-C13</f>
        <v>-15</v>
      </c>
    </row>
    <row r="14" spans="1:8" x14ac:dyDescent="0.2">
      <c r="A14" s="1" t="s">
        <v>116</v>
      </c>
      <c r="C14" s="1">
        <v>10</v>
      </c>
      <c r="G14" s="1">
        <f>-C14</f>
        <v>-10</v>
      </c>
    </row>
    <row r="15" spans="1:8" x14ac:dyDescent="0.2">
      <c r="A15" s="1" t="s">
        <v>4591</v>
      </c>
      <c r="E15" s="75">
        <f>F75</f>
        <v>200</v>
      </c>
    </row>
    <row r="16" spans="1:8" x14ac:dyDescent="0.2">
      <c r="A16" s="1" t="s">
        <v>1250</v>
      </c>
      <c r="C16" s="1">
        <v>11</v>
      </c>
      <c r="G16" s="1">
        <f>C16</f>
        <v>11</v>
      </c>
    </row>
    <row r="17" spans="1:8" x14ac:dyDescent="0.2">
      <c r="A17" s="1" t="s">
        <v>23</v>
      </c>
      <c r="C17" s="1">
        <v>80</v>
      </c>
      <c r="E17" s="1">
        <f>C17</f>
        <v>80</v>
      </c>
    </row>
    <row r="18" spans="1:8" x14ac:dyDescent="0.2">
      <c r="A18" s="1" t="s">
        <v>22</v>
      </c>
      <c r="C18" s="1">
        <v>140</v>
      </c>
      <c r="E18" s="1">
        <f>C18</f>
        <v>140</v>
      </c>
    </row>
    <row r="19" spans="1:8" x14ac:dyDescent="0.2">
      <c r="A19" s="1" t="s">
        <v>4592</v>
      </c>
      <c r="D19" s="75">
        <f>-E93</f>
        <v>-12.5</v>
      </c>
    </row>
    <row r="20" spans="1:8" x14ac:dyDescent="0.2">
      <c r="A20" s="1" t="s">
        <v>2924</v>
      </c>
      <c r="C20" s="1">
        <v>12</v>
      </c>
      <c r="H20" s="1">
        <f>C20</f>
        <v>12</v>
      </c>
    </row>
    <row r="21" spans="1:8" x14ac:dyDescent="0.2">
      <c r="A21" s="1" t="s">
        <v>109</v>
      </c>
      <c r="C21" s="1">
        <v>31</v>
      </c>
      <c r="G21" s="1">
        <f>C21</f>
        <v>31</v>
      </c>
    </row>
    <row r="22" spans="1:8" x14ac:dyDescent="0.2">
      <c r="A22" s="1" t="s">
        <v>1192</v>
      </c>
      <c r="C22" s="1">
        <v>15</v>
      </c>
      <c r="G22" s="1">
        <f>-C22</f>
        <v>-15</v>
      </c>
    </row>
    <row r="23" spans="1:8" x14ac:dyDescent="0.2">
      <c r="A23" s="1" t="s">
        <v>101</v>
      </c>
      <c r="C23" s="1">
        <v>22</v>
      </c>
      <c r="H23" s="1">
        <f>-C23</f>
        <v>-22</v>
      </c>
    </row>
    <row r="24" spans="1:8" x14ac:dyDescent="0.2">
      <c r="A24" s="1" t="s">
        <v>14</v>
      </c>
      <c r="C24" s="1">
        <v>400</v>
      </c>
      <c r="D24" s="1">
        <f>C24</f>
        <v>400</v>
      </c>
    </row>
    <row r="25" spans="1:8" x14ac:dyDescent="0.2">
      <c r="A25" s="1" t="s">
        <v>133</v>
      </c>
      <c r="C25" s="1">
        <v>300</v>
      </c>
      <c r="D25" s="1">
        <f>C25</f>
        <v>300</v>
      </c>
    </row>
    <row r="26" spans="1:8" x14ac:dyDescent="0.2">
      <c r="A26" s="1" t="s">
        <v>1241</v>
      </c>
      <c r="D26" s="75">
        <v>70</v>
      </c>
    </row>
    <row r="27" spans="1:8" x14ac:dyDescent="0.2">
      <c r="A27" s="1" t="s">
        <v>4593</v>
      </c>
      <c r="D27" s="75">
        <f>-D121</f>
        <v>-5</v>
      </c>
    </row>
    <row r="28" spans="1:8" x14ac:dyDescent="0.2">
      <c r="A28" s="1" t="s">
        <v>4629</v>
      </c>
      <c r="D28" s="75">
        <v>1000</v>
      </c>
    </row>
    <row r="29" spans="1:8" x14ac:dyDescent="0.2">
      <c r="A29" s="1" t="s">
        <v>4594</v>
      </c>
      <c r="D29" s="75">
        <v>-200</v>
      </c>
    </row>
    <row r="30" spans="1:8" x14ac:dyDescent="0.2">
      <c r="A30" s="1" t="s">
        <v>68</v>
      </c>
      <c r="C30" s="1">
        <v>400</v>
      </c>
      <c r="G30" s="1">
        <f>C30</f>
        <v>400</v>
      </c>
    </row>
    <row r="31" spans="1:8" s="13" customFormat="1" x14ac:dyDescent="0.2">
      <c r="A31" s="13" t="s">
        <v>3507</v>
      </c>
      <c r="H31" s="75">
        <v>65</v>
      </c>
    </row>
    <row r="32" spans="1:8" x14ac:dyDescent="0.2">
      <c r="A32" s="1" t="s">
        <v>16</v>
      </c>
      <c r="C32" s="1">
        <v>70</v>
      </c>
      <c r="E32" s="1">
        <f>C32</f>
        <v>70</v>
      </c>
    </row>
    <row r="33" spans="1:18" x14ac:dyDescent="0.2">
      <c r="A33" s="1" t="s">
        <v>955</v>
      </c>
      <c r="F33" s="475" t="s">
        <v>4804</v>
      </c>
    </row>
    <row r="34" spans="1:18" x14ac:dyDescent="0.2">
      <c r="A34" s="1" t="s">
        <v>1453</v>
      </c>
      <c r="C34" s="1">
        <v>8</v>
      </c>
      <c r="H34" s="1">
        <f>C34</f>
        <v>8</v>
      </c>
    </row>
    <row r="35" spans="1:18" x14ac:dyDescent="0.2">
      <c r="A35" s="1" t="s">
        <v>3398</v>
      </c>
      <c r="C35" s="1">
        <v>4</v>
      </c>
      <c r="H35" s="1">
        <f>C35</f>
        <v>4</v>
      </c>
    </row>
    <row r="36" spans="1:18" x14ac:dyDescent="0.2">
      <c r="A36" s="1" t="s">
        <v>4595</v>
      </c>
      <c r="C36" s="1">
        <v>500</v>
      </c>
      <c r="D36" s="1">
        <f>C36</f>
        <v>500</v>
      </c>
    </row>
    <row r="37" spans="1:18" x14ac:dyDescent="0.2">
      <c r="A37" s="1" t="s">
        <v>259</v>
      </c>
      <c r="C37" s="1">
        <v>200</v>
      </c>
      <c r="H37" s="1">
        <f>C37</f>
        <v>200</v>
      </c>
    </row>
    <row r="39" spans="1:18" ht="17" thickBot="1" x14ac:dyDescent="0.25"/>
    <row r="40" spans="1:18" ht="21" x14ac:dyDescent="0.25">
      <c r="J40" s="737" t="s">
        <v>195</v>
      </c>
      <c r="K40" s="734"/>
      <c r="L40" s="734"/>
      <c r="M40" s="734"/>
      <c r="N40" s="734"/>
      <c r="O40" s="734"/>
      <c r="P40" s="734"/>
      <c r="Q40" s="100"/>
      <c r="R40" s="19"/>
    </row>
    <row r="41" spans="1:18" ht="21" x14ac:dyDescent="0.25">
      <c r="J41" s="738" t="s">
        <v>4729</v>
      </c>
      <c r="K41" s="735"/>
      <c r="L41" s="735"/>
      <c r="M41" s="735"/>
      <c r="N41" s="735"/>
      <c r="O41" s="735"/>
      <c r="P41" s="735"/>
      <c r="R41" s="107"/>
    </row>
    <row r="42" spans="1:18" ht="21" x14ac:dyDescent="0.25">
      <c r="J42" s="738" t="s">
        <v>4730</v>
      </c>
      <c r="K42" s="735"/>
      <c r="L42" s="735"/>
      <c r="M42" s="735"/>
      <c r="N42" s="735"/>
      <c r="O42" s="735"/>
      <c r="P42" s="735"/>
      <c r="R42" s="107"/>
    </row>
    <row r="43" spans="1:18" ht="22" thickBot="1" x14ac:dyDescent="0.3">
      <c r="J43" s="739" t="s">
        <v>4731</v>
      </c>
      <c r="K43" s="736"/>
      <c r="L43" s="736"/>
      <c r="M43" s="736"/>
      <c r="N43" s="736"/>
      <c r="O43" s="736"/>
      <c r="P43" s="736"/>
      <c r="Q43" s="103"/>
      <c r="R43" s="21"/>
    </row>
    <row r="44" spans="1:18" ht="17" thickBot="1" x14ac:dyDescent="0.25">
      <c r="A44" s="1" t="s">
        <v>272</v>
      </c>
      <c r="D44" s="728">
        <f>SUM(D4:D43)</f>
        <v>2052.5</v>
      </c>
      <c r="E44" s="171">
        <f t="shared" ref="E44:H44" si="1">SUM(E4:E43)</f>
        <v>514</v>
      </c>
      <c r="F44" s="171" t="s">
        <v>4643</v>
      </c>
      <c r="G44" s="171">
        <f t="shared" si="1"/>
        <v>417</v>
      </c>
      <c r="H44" s="619">
        <f t="shared" si="1"/>
        <v>432</v>
      </c>
    </row>
    <row r="45" spans="1:18" x14ac:dyDescent="0.2">
      <c r="D45" s="1">
        <f>D44</f>
        <v>2052.5</v>
      </c>
    </row>
    <row r="46" spans="1:18" x14ac:dyDescent="0.2">
      <c r="A46" s="1" t="s">
        <v>4644</v>
      </c>
    </row>
    <row r="48" spans="1:18" x14ac:dyDescent="0.2">
      <c r="D48" s="1" t="s">
        <v>4645</v>
      </c>
    </row>
    <row r="50" spans="1:8" x14ac:dyDescent="0.2">
      <c r="A50" s="1" t="s">
        <v>4646</v>
      </c>
    </row>
    <row r="51" spans="1:8" x14ac:dyDescent="0.2">
      <c r="G51" s="1" t="s">
        <v>4647</v>
      </c>
    </row>
    <row r="52" spans="1:8" x14ac:dyDescent="0.2">
      <c r="F52" s="6">
        <f>2052.5-514-100-(417-432)</f>
        <v>1453.5</v>
      </c>
      <c r="G52" s="6" t="s">
        <v>2100</v>
      </c>
    </row>
    <row r="56" spans="1:8" ht="17" thickBot="1" x14ac:dyDescent="0.25"/>
    <row r="57" spans="1:8" ht="17" thickBot="1" x14ac:dyDescent="0.25">
      <c r="A57" s="729" t="s">
        <v>4596</v>
      </c>
      <c r="B57" s="730"/>
      <c r="C57" s="730"/>
      <c r="D57" s="730"/>
      <c r="E57" s="730"/>
      <c r="F57" s="730"/>
      <c r="G57" s="730"/>
      <c r="H57" s="731"/>
    </row>
    <row r="59" spans="1:8" x14ac:dyDescent="0.2">
      <c r="A59" s="2" t="s">
        <v>4597</v>
      </c>
      <c r="B59" s="2"/>
      <c r="C59" s="2"/>
      <c r="D59" s="2"/>
      <c r="E59" s="2"/>
      <c r="F59" s="2"/>
    </row>
    <row r="68" spans="1:8" x14ac:dyDescent="0.2">
      <c r="A68" s="1" t="s">
        <v>4598</v>
      </c>
    </row>
    <row r="69" spans="1:8" x14ac:dyDescent="0.2">
      <c r="A69" s="1" t="s">
        <v>4599</v>
      </c>
    </row>
    <row r="70" spans="1:8" x14ac:dyDescent="0.2">
      <c r="A70" s="1" t="s">
        <v>4600</v>
      </c>
    </row>
    <row r="71" spans="1:8" x14ac:dyDescent="0.2">
      <c r="A71" s="1" t="s">
        <v>4601</v>
      </c>
    </row>
    <row r="73" spans="1:8" x14ac:dyDescent="0.2">
      <c r="B73" s="1" t="s">
        <v>4602</v>
      </c>
      <c r="F73" s="1">
        <v>300</v>
      </c>
    </row>
    <row r="74" spans="1:8" x14ac:dyDescent="0.2">
      <c r="B74" s="1" t="s">
        <v>4603</v>
      </c>
      <c r="F74" s="1">
        <v>100</v>
      </c>
    </row>
    <row r="75" spans="1:8" x14ac:dyDescent="0.2">
      <c r="B75" s="1" t="s">
        <v>4604</v>
      </c>
      <c r="F75" s="16">
        <f>F73-F74</f>
        <v>200</v>
      </c>
      <c r="H75" s="1" t="s">
        <v>2133</v>
      </c>
    </row>
    <row r="77" spans="1:8" x14ac:dyDescent="0.2">
      <c r="A77" s="2" t="s">
        <v>4605</v>
      </c>
    </row>
    <row r="78" spans="1:8" x14ac:dyDescent="0.2">
      <c r="A78" s="1" t="s">
        <v>4606</v>
      </c>
    </row>
    <row r="88" spans="2:6" x14ac:dyDescent="0.2">
      <c r="B88" s="1" t="s">
        <v>4607</v>
      </c>
    </row>
    <row r="90" spans="2:6" x14ac:dyDescent="0.2">
      <c r="B90" s="120">
        <v>45291</v>
      </c>
      <c r="C90" s="1" t="s">
        <v>3259</v>
      </c>
      <c r="E90" s="552">
        <v>0.05</v>
      </c>
    </row>
    <row r="91" spans="2:6" x14ac:dyDescent="0.2">
      <c r="B91" s="120">
        <v>45291</v>
      </c>
      <c r="C91" s="1" t="s">
        <v>369</v>
      </c>
      <c r="E91" s="1">
        <v>250</v>
      </c>
    </row>
    <row r="93" spans="2:6" x14ac:dyDescent="0.2">
      <c r="B93" s="120">
        <v>45291</v>
      </c>
      <c r="C93" s="1" t="s">
        <v>4608</v>
      </c>
      <c r="E93" s="16">
        <f>E90*E91</f>
        <v>12.5</v>
      </c>
      <c r="F93" s="1" t="s">
        <v>4609</v>
      </c>
    </row>
    <row r="95" spans="2:6" x14ac:dyDescent="0.2">
      <c r="B95" s="1" t="s">
        <v>4610</v>
      </c>
    </row>
    <row r="96" spans="2:6" x14ac:dyDescent="0.2">
      <c r="B96" s="1" t="s">
        <v>4611</v>
      </c>
    </row>
    <row r="97" spans="1:6" x14ac:dyDescent="0.2">
      <c r="B97" s="1" t="s">
        <v>4612</v>
      </c>
    </row>
    <row r="98" spans="1:6" x14ac:dyDescent="0.2">
      <c r="B98" s="1" t="s">
        <v>4613</v>
      </c>
    </row>
    <row r="100" spans="1:6" x14ac:dyDescent="0.2">
      <c r="A100" s="2" t="s">
        <v>4614</v>
      </c>
    </row>
    <row r="101" spans="1:6" x14ac:dyDescent="0.2">
      <c r="A101" s="2" t="s">
        <v>4615</v>
      </c>
    </row>
    <row r="109" spans="1:6" x14ac:dyDescent="0.2">
      <c r="B109" s="1" t="s">
        <v>4616</v>
      </c>
      <c r="E109" s="1">
        <v>70</v>
      </c>
      <c r="F109" s="1" t="s">
        <v>1994</v>
      </c>
    </row>
    <row r="111" spans="1:6" x14ac:dyDescent="0.2">
      <c r="B111" s="1" t="s">
        <v>4617</v>
      </c>
    </row>
    <row r="112" spans="1:6" x14ac:dyDescent="0.2">
      <c r="B112" s="1" t="s">
        <v>4618</v>
      </c>
    </row>
    <row r="114" spans="1:9" x14ac:dyDescent="0.2">
      <c r="B114" s="1" t="s">
        <v>4619</v>
      </c>
    </row>
    <row r="115" spans="1:9" x14ac:dyDescent="0.2">
      <c r="B115" s="1" t="s">
        <v>4620</v>
      </c>
    </row>
    <row r="117" spans="1:9" x14ac:dyDescent="0.2">
      <c r="B117" s="1" t="s">
        <v>4621</v>
      </c>
      <c r="F117" s="54">
        <v>6</v>
      </c>
      <c r="I117" s="1" t="s">
        <v>4622</v>
      </c>
    </row>
    <row r="118" spans="1:9" x14ac:dyDescent="0.2">
      <c r="B118" s="1" t="s">
        <v>4623</v>
      </c>
    </row>
    <row r="119" spans="1:9" x14ac:dyDescent="0.2">
      <c r="B119" s="1" t="s">
        <v>4624</v>
      </c>
    </row>
    <row r="121" spans="1:9" x14ac:dyDescent="0.2">
      <c r="B121" s="1" t="s">
        <v>4626</v>
      </c>
      <c r="D121" s="165">
        <f>40*3*0.25/6</f>
        <v>5</v>
      </c>
      <c r="F121" s="1" t="s">
        <v>4625</v>
      </c>
    </row>
    <row r="123" spans="1:9" x14ac:dyDescent="0.2">
      <c r="B123" s="1" t="s">
        <v>4627</v>
      </c>
    </row>
    <row r="124" spans="1:9" x14ac:dyDescent="0.2">
      <c r="B124" s="1" t="s">
        <v>4628</v>
      </c>
    </row>
    <row r="127" spans="1:9" x14ac:dyDescent="0.2">
      <c r="A127" s="2" t="s">
        <v>4630</v>
      </c>
    </row>
    <row r="128" spans="1:9" x14ac:dyDescent="0.2">
      <c r="A128" s="2" t="s">
        <v>4631</v>
      </c>
    </row>
    <row r="133" spans="1:7" x14ac:dyDescent="0.2">
      <c r="B133" s="1" t="s">
        <v>4632</v>
      </c>
    </row>
    <row r="134" spans="1:7" x14ac:dyDescent="0.2">
      <c r="B134" s="1" t="s">
        <v>4633</v>
      </c>
    </row>
    <row r="136" spans="1:7" x14ac:dyDescent="0.2">
      <c r="B136" s="1" t="s">
        <v>4634</v>
      </c>
      <c r="E136" s="1">
        <f>250*4</f>
        <v>1000</v>
      </c>
      <c r="G136" s="1" t="s">
        <v>4635</v>
      </c>
    </row>
    <row r="137" spans="1:7" x14ac:dyDescent="0.2">
      <c r="B137" s="1" t="s">
        <v>4637</v>
      </c>
      <c r="E137" s="1">
        <f>E136/10*2</f>
        <v>200</v>
      </c>
      <c r="G137" s="1" t="s">
        <v>4636</v>
      </c>
    </row>
    <row r="139" spans="1:7" x14ac:dyDescent="0.2">
      <c r="A139" s="2" t="s">
        <v>4638</v>
      </c>
    </row>
    <row r="145" spans="1:8" x14ac:dyDescent="0.2">
      <c r="A145" s="1" t="s">
        <v>4639</v>
      </c>
    </row>
    <row r="147" spans="1:8" x14ac:dyDescent="0.2">
      <c r="B147" s="1" t="s">
        <v>4640</v>
      </c>
      <c r="D147" s="1">
        <v>70</v>
      </c>
    </row>
    <row r="148" spans="1:8" x14ac:dyDescent="0.2">
      <c r="B148" s="1" t="s">
        <v>4641</v>
      </c>
      <c r="D148" s="1">
        <v>65</v>
      </c>
    </row>
    <row r="150" spans="1:8" x14ac:dyDescent="0.2">
      <c r="B150" s="1" t="s">
        <v>4642</v>
      </c>
      <c r="D150" s="1">
        <f>D148</f>
        <v>65</v>
      </c>
    </row>
    <row r="151" spans="1:8" ht="17" thickBot="1" x14ac:dyDescent="0.25"/>
    <row r="152" spans="1:8" ht="17" thickBot="1" x14ac:dyDescent="0.25">
      <c r="A152" s="729" t="s">
        <v>4648</v>
      </c>
      <c r="B152" s="730"/>
      <c r="C152" s="730"/>
      <c r="D152" s="730"/>
      <c r="E152" s="730"/>
      <c r="F152" s="730"/>
      <c r="G152" s="730"/>
      <c r="H152" s="731"/>
    </row>
    <row r="162" spans="1:11" x14ac:dyDescent="0.2">
      <c r="A162" s="1" t="s">
        <v>4653</v>
      </c>
    </row>
    <row r="164" spans="1:11" x14ac:dyDescent="0.2">
      <c r="A164" s="120">
        <v>45291</v>
      </c>
      <c r="B164" s="1" t="s">
        <v>4649</v>
      </c>
      <c r="D164" s="13">
        <f>E93</f>
        <v>12.5</v>
      </c>
      <c r="E164" s="1" t="s">
        <v>4650</v>
      </c>
      <c r="H164" s="1" t="s">
        <v>4752</v>
      </c>
    </row>
    <row r="165" spans="1:11" x14ac:dyDescent="0.2">
      <c r="A165" s="1">
        <v>2024</v>
      </c>
      <c r="B165" s="1" t="s">
        <v>4652</v>
      </c>
      <c r="D165" s="13">
        <v>0</v>
      </c>
      <c r="E165" s="1" t="s">
        <v>4654</v>
      </c>
    </row>
    <row r="166" spans="1:11" x14ac:dyDescent="0.2">
      <c r="A166" s="1">
        <v>2024</v>
      </c>
      <c r="B166" s="1" t="s">
        <v>4655</v>
      </c>
      <c r="D166" s="75">
        <f>D167-D165-D164</f>
        <v>22.5</v>
      </c>
      <c r="E166" s="1" t="s">
        <v>1869</v>
      </c>
      <c r="I166" s="1" t="s">
        <v>4753</v>
      </c>
      <c r="J166" s="110" t="s">
        <v>4754</v>
      </c>
    </row>
    <row r="167" spans="1:11" x14ac:dyDescent="0.2">
      <c r="A167" s="120">
        <v>45657</v>
      </c>
      <c r="B167" s="1" t="s">
        <v>4651</v>
      </c>
      <c r="D167" s="13">
        <f>D171</f>
        <v>35</v>
      </c>
      <c r="E167" s="1" t="s">
        <v>4661</v>
      </c>
      <c r="J167" s="110" t="s">
        <v>4755</v>
      </c>
    </row>
    <row r="168" spans="1:11" x14ac:dyDescent="0.2">
      <c r="J168" s="110" t="s">
        <v>4756</v>
      </c>
    </row>
    <row r="169" spans="1:11" x14ac:dyDescent="0.2">
      <c r="B169" s="1" t="s">
        <v>4656</v>
      </c>
      <c r="J169" s="110" t="s">
        <v>4757</v>
      </c>
    </row>
    <row r="170" spans="1:11" x14ac:dyDescent="0.2">
      <c r="B170" s="1" t="s">
        <v>4657</v>
      </c>
      <c r="D170" s="13">
        <v>400</v>
      </c>
      <c r="E170" s="1" t="s">
        <v>4660</v>
      </c>
    </row>
    <row r="171" spans="1:11" x14ac:dyDescent="0.2">
      <c r="B171" s="1" t="s">
        <v>4659</v>
      </c>
      <c r="D171" s="13">
        <f>75%*400*10%+25%*400*5%</f>
        <v>35</v>
      </c>
      <c r="E171" s="13"/>
      <c r="F171" s="13"/>
      <c r="G171" s="13" t="s">
        <v>4658</v>
      </c>
      <c r="H171" s="13"/>
      <c r="I171" s="13"/>
    </row>
    <row r="172" spans="1:11" ht="17" thickBot="1" x14ac:dyDescent="0.25"/>
    <row r="173" spans="1:11" x14ac:dyDescent="0.2">
      <c r="B173" s="18" t="s">
        <v>4662</v>
      </c>
      <c r="C173" s="100"/>
      <c r="D173" s="100"/>
      <c r="E173" s="100"/>
      <c r="F173" s="19"/>
      <c r="G173" s="1" t="s">
        <v>4665</v>
      </c>
      <c r="I173" s="1" t="s">
        <v>4666</v>
      </c>
      <c r="J173" s="1" t="s">
        <v>4667</v>
      </c>
      <c r="K173" s="426" t="s">
        <v>4668</v>
      </c>
    </row>
    <row r="174" spans="1:11" x14ac:dyDescent="0.2">
      <c r="B174" s="106" t="s">
        <v>4663</v>
      </c>
      <c r="F174" s="107"/>
      <c r="G174" s="1" t="s">
        <v>4669</v>
      </c>
      <c r="I174" s="13">
        <v>12.5</v>
      </c>
      <c r="J174" s="13">
        <v>22.5</v>
      </c>
      <c r="K174" s="741">
        <v>35</v>
      </c>
    </row>
    <row r="175" spans="1:11" ht="17" thickBot="1" x14ac:dyDescent="0.25">
      <c r="B175" s="20" t="s">
        <v>4664</v>
      </c>
      <c r="C175" s="103"/>
      <c r="D175" s="103"/>
      <c r="E175" s="103"/>
      <c r="F175" s="21"/>
      <c r="G175" s="1" t="s">
        <v>4670</v>
      </c>
      <c r="I175" s="13">
        <v>0</v>
      </c>
      <c r="J175" s="13">
        <f>J174</f>
        <v>22.5</v>
      </c>
      <c r="K175" s="742">
        <f>J175</f>
        <v>22.5</v>
      </c>
    </row>
    <row r="178" spans="1:11" x14ac:dyDescent="0.2">
      <c r="J178" s="1" t="s">
        <v>4758</v>
      </c>
    </row>
    <row r="179" spans="1:11" x14ac:dyDescent="0.2">
      <c r="J179" s="1" t="s">
        <v>4759</v>
      </c>
    </row>
    <row r="180" spans="1:11" x14ac:dyDescent="0.2">
      <c r="J180" s="1" t="s">
        <v>4760</v>
      </c>
    </row>
    <row r="181" spans="1:11" x14ac:dyDescent="0.2">
      <c r="J181" s="1" t="s">
        <v>4761</v>
      </c>
    </row>
    <row r="182" spans="1:11" x14ac:dyDescent="0.2">
      <c r="J182" s="1" t="s">
        <v>4762</v>
      </c>
    </row>
    <row r="184" spans="1:11" x14ac:dyDescent="0.2">
      <c r="A184" s="1" t="s">
        <v>4673</v>
      </c>
      <c r="E184" s="13">
        <v>200</v>
      </c>
    </row>
    <row r="185" spans="1:11" x14ac:dyDescent="0.2">
      <c r="A185" s="1" t="s">
        <v>4675</v>
      </c>
      <c r="E185" s="743">
        <v>100</v>
      </c>
      <c r="F185" s="1" t="s">
        <v>4678</v>
      </c>
    </row>
    <row r="186" spans="1:11" x14ac:dyDescent="0.2">
      <c r="A186" s="1" t="s">
        <v>4674</v>
      </c>
      <c r="E186" s="13">
        <f>E184-E185</f>
        <v>100</v>
      </c>
      <c r="F186" s="13"/>
      <c r="G186" s="13" t="s">
        <v>4676</v>
      </c>
      <c r="H186" s="13"/>
      <c r="I186" s="13"/>
    </row>
    <row r="187" spans="1:11" ht="17" thickBot="1" x14ac:dyDescent="0.25"/>
    <row r="188" spans="1:11" x14ac:dyDescent="0.2">
      <c r="A188" s="18" t="s">
        <v>4677</v>
      </c>
      <c r="B188" s="100"/>
      <c r="C188" s="100"/>
      <c r="D188" s="100"/>
      <c r="E188" s="100"/>
      <c r="F188" s="19"/>
      <c r="G188" s="1" t="s">
        <v>4665</v>
      </c>
      <c r="I188" s="1" t="s">
        <v>4666</v>
      </c>
      <c r="J188" s="1" t="s">
        <v>4667</v>
      </c>
      <c r="K188" s="426" t="s">
        <v>4668</v>
      </c>
    </row>
    <row r="189" spans="1:11" x14ac:dyDescent="0.2">
      <c r="A189" s="106"/>
      <c r="B189" s="1" t="s">
        <v>4763</v>
      </c>
      <c r="D189" s="13"/>
      <c r="E189" s="13">
        <f>E190</f>
        <v>100</v>
      </c>
      <c r="F189" s="107"/>
      <c r="G189" s="1" t="s">
        <v>451</v>
      </c>
      <c r="I189" s="13">
        <v>200</v>
      </c>
      <c r="J189" s="13">
        <v>-100</v>
      </c>
      <c r="K189" s="741">
        <f>I189+J189</f>
        <v>100</v>
      </c>
    </row>
    <row r="190" spans="1:11" ht="17" thickBot="1" x14ac:dyDescent="0.25">
      <c r="A190" s="20"/>
      <c r="B190" s="103" t="s">
        <v>4764</v>
      </c>
      <c r="C190" s="103"/>
      <c r="D190" s="266"/>
      <c r="E190" s="266">
        <f>E185</f>
        <v>100</v>
      </c>
      <c r="F190" s="21"/>
      <c r="G190" s="1" t="s">
        <v>4679</v>
      </c>
      <c r="I190" s="13">
        <v>0</v>
      </c>
      <c r="J190" s="13">
        <v>100</v>
      </c>
      <c r="K190" s="742">
        <f>J190</f>
        <v>100</v>
      </c>
    </row>
    <row r="192" spans="1:11" x14ac:dyDescent="0.2">
      <c r="A192" s="2" t="s">
        <v>4680</v>
      </c>
    </row>
    <row r="193" spans="1:9" x14ac:dyDescent="0.2">
      <c r="A193" s="2" t="s">
        <v>4681</v>
      </c>
    </row>
    <row r="200" spans="1:9" x14ac:dyDescent="0.2">
      <c r="A200" s="1" t="s">
        <v>4684</v>
      </c>
    </row>
    <row r="201" spans="1:9" x14ac:dyDescent="0.2">
      <c r="A201" s="1" t="s">
        <v>4685</v>
      </c>
    </row>
    <row r="202" spans="1:9" x14ac:dyDescent="0.2">
      <c r="A202" s="1" t="s">
        <v>4686</v>
      </c>
    </row>
    <row r="204" spans="1:9" x14ac:dyDescent="0.2">
      <c r="A204" s="1" t="s">
        <v>4687</v>
      </c>
    </row>
    <row r="205" spans="1:9" x14ac:dyDescent="0.2">
      <c r="B205" s="3" t="s">
        <v>506</v>
      </c>
      <c r="C205" s="3"/>
      <c r="D205" s="3">
        <f>E209</f>
        <v>90</v>
      </c>
      <c r="E205" s="3" t="s">
        <v>4692</v>
      </c>
      <c r="F205" s="3"/>
      <c r="G205" s="3"/>
      <c r="H205" s="3"/>
      <c r="I205" s="3"/>
    </row>
    <row r="206" spans="1:9" x14ac:dyDescent="0.2">
      <c r="B206" s="3" t="s">
        <v>1633</v>
      </c>
      <c r="C206" s="3"/>
      <c r="D206" s="3">
        <f>D205</f>
        <v>90</v>
      </c>
      <c r="E206" s="3" t="s">
        <v>4693</v>
      </c>
      <c r="F206" s="3"/>
      <c r="G206" s="3"/>
      <c r="H206" s="3"/>
      <c r="I206" s="3"/>
    </row>
    <row r="208" spans="1:9" x14ac:dyDescent="0.2">
      <c r="A208" s="1" t="s">
        <v>4688</v>
      </c>
    </row>
    <row r="209" spans="2:13" x14ac:dyDescent="0.2">
      <c r="B209" s="1" t="s">
        <v>4689</v>
      </c>
      <c r="E209" s="1">
        <v>90</v>
      </c>
    </row>
    <row r="210" spans="2:13" x14ac:dyDescent="0.2">
      <c r="B210" s="1" t="s">
        <v>4690</v>
      </c>
      <c r="E210" s="1">
        <v>95</v>
      </c>
    </row>
    <row r="212" spans="2:13" x14ac:dyDescent="0.2">
      <c r="B212" s="1" t="s">
        <v>4691</v>
      </c>
      <c r="E212" s="1">
        <f>E209</f>
        <v>90</v>
      </c>
    </row>
    <row r="218" spans="2:13" x14ac:dyDescent="0.2">
      <c r="B218" s="13" t="s">
        <v>4696</v>
      </c>
      <c r="C218" s="13"/>
      <c r="D218" s="13"/>
      <c r="E218" s="13">
        <v>200</v>
      </c>
      <c r="F218" s="13" t="s">
        <v>4765</v>
      </c>
      <c r="G218" s="13"/>
      <c r="H218" s="13"/>
      <c r="J218" s="2" t="s">
        <v>4767</v>
      </c>
    </row>
    <row r="219" spans="2:13" x14ac:dyDescent="0.2">
      <c r="B219" s="1" t="s">
        <v>4698</v>
      </c>
      <c r="E219" s="75">
        <v>100</v>
      </c>
      <c r="F219" s="12"/>
      <c r="G219" s="13" t="s">
        <v>4766</v>
      </c>
      <c r="J219" s="2" t="s">
        <v>4768</v>
      </c>
    </row>
    <row r="220" spans="2:13" x14ac:dyDescent="0.2">
      <c r="B220" s="1" t="s">
        <v>4697</v>
      </c>
      <c r="E220" s="13">
        <f>E218+E219</f>
        <v>300</v>
      </c>
      <c r="F220" s="12"/>
      <c r="G220" s="12"/>
    </row>
    <row r="221" spans="2:13" x14ac:dyDescent="0.2">
      <c r="E221" s="12"/>
      <c r="F221" s="12"/>
      <c r="G221" s="12"/>
    </row>
    <row r="222" spans="2:13" x14ac:dyDescent="0.2">
      <c r="B222" s="1" t="s">
        <v>4699</v>
      </c>
      <c r="E222" s="12"/>
      <c r="F222" s="12"/>
      <c r="G222" s="12"/>
    </row>
    <row r="223" spans="2:13" x14ac:dyDescent="0.2">
      <c r="B223" s="1" t="s">
        <v>1989</v>
      </c>
      <c r="E223" s="13">
        <f>E219</f>
        <v>100</v>
      </c>
      <c r="F223" s="12"/>
      <c r="G223" s="12"/>
      <c r="I223" s="1" t="s">
        <v>4701</v>
      </c>
      <c r="K223" s="1" t="s">
        <v>4546</v>
      </c>
      <c r="L223" s="1" t="s">
        <v>4570</v>
      </c>
      <c r="M223" s="3" t="s">
        <v>4547</v>
      </c>
    </row>
    <row r="224" spans="2:13" x14ac:dyDescent="0.2">
      <c r="B224" s="1" t="s">
        <v>4700</v>
      </c>
      <c r="E224" s="13">
        <f>E223</f>
        <v>100</v>
      </c>
      <c r="F224" s="12"/>
      <c r="G224" s="12"/>
      <c r="I224" s="1" t="s">
        <v>3506</v>
      </c>
      <c r="K224" s="1">
        <v>200</v>
      </c>
      <c r="L224" s="13">
        <v>100</v>
      </c>
      <c r="M224" s="187">
        <v>300</v>
      </c>
    </row>
    <row r="225" spans="1:13" x14ac:dyDescent="0.2">
      <c r="I225" s="1" t="s">
        <v>4702</v>
      </c>
      <c r="K225" s="1">
        <v>0</v>
      </c>
      <c r="L225" s="13">
        <v>100</v>
      </c>
      <c r="M225" s="75">
        <v>100</v>
      </c>
    </row>
    <row r="235" spans="1:13" x14ac:dyDescent="0.2">
      <c r="B235" s="1" t="s">
        <v>4703</v>
      </c>
      <c r="D235" s="13">
        <v>5</v>
      </c>
      <c r="E235" s="13" t="s">
        <v>4704</v>
      </c>
      <c r="F235" s="13"/>
      <c r="G235" s="13"/>
      <c r="H235" s="13" t="s">
        <v>4769</v>
      </c>
      <c r="I235" s="12"/>
    </row>
    <row r="236" spans="1:13" x14ac:dyDescent="0.2">
      <c r="B236" s="1" t="s">
        <v>4705</v>
      </c>
      <c r="D236" s="745">
        <f>40 * (3 * 9/12 + 2 * 3/12) / 6 + 30 * (3 * 9/12) / 6</f>
        <v>29.583333333333332</v>
      </c>
      <c r="E236" s="12"/>
      <c r="F236" s="12"/>
      <c r="G236" s="12"/>
      <c r="H236" s="13" t="s">
        <v>4770</v>
      </c>
      <c r="I236" s="12" t="s">
        <v>4720</v>
      </c>
      <c r="L236" s="1" t="s">
        <v>4707</v>
      </c>
    </row>
    <row r="237" spans="1:13" x14ac:dyDescent="0.2">
      <c r="B237" s="1" t="s">
        <v>4708</v>
      </c>
      <c r="D237" s="744">
        <f>D235+D236</f>
        <v>34.583333333333329</v>
      </c>
      <c r="E237" s="13" t="s">
        <v>4721</v>
      </c>
      <c r="F237" s="13"/>
      <c r="G237" s="13"/>
      <c r="H237" s="13"/>
      <c r="I237" s="12"/>
      <c r="L237" s="1" t="s">
        <v>4706</v>
      </c>
    </row>
    <row r="238" spans="1:13" ht="17" thickBot="1" x14ac:dyDescent="0.25"/>
    <row r="239" spans="1:13" x14ac:dyDescent="0.2">
      <c r="A239" s="18" t="s">
        <v>4542</v>
      </c>
      <c r="B239" s="100" t="s">
        <v>1368</v>
      </c>
      <c r="C239" s="100"/>
      <c r="D239" s="746">
        <f>D236</f>
        <v>29.583333333333332</v>
      </c>
      <c r="E239" s="13"/>
      <c r="F239" s="13"/>
      <c r="I239" s="1" t="s">
        <v>4701</v>
      </c>
      <c r="K239" s="1" t="s">
        <v>4546</v>
      </c>
      <c r="L239" s="1" t="s">
        <v>4570</v>
      </c>
      <c r="M239" s="3" t="s">
        <v>4547</v>
      </c>
    </row>
    <row r="240" spans="1:13" ht="17" thickBot="1" x14ac:dyDescent="0.25">
      <c r="A240" s="20"/>
      <c r="B240" s="103" t="s">
        <v>4771</v>
      </c>
      <c r="C240" s="103"/>
      <c r="D240" s="747">
        <f>D239</f>
        <v>29.583333333333332</v>
      </c>
      <c r="E240" s="13"/>
      <c r="F240" s="13"/>
      <c r="I240" s="1" t="s">
        <v>3504</v>
      </c>
      <c r="K240" s="13">
        <v>5</v>
      </c>
      <c r="L240" s="744">
        <f>D236</f>
        <v>29.583333333333332</v>
      </c>
      <c r="M240" s="733">
        <f>K240+L240</f>
        <v>34.583333333333329</v>
      </c>
    </row>
    <row r="241" spans="1:13" x14ac:dyDescent="0.2">
      <c r="D241" s="13"/>
      <c r="E241" s="13"/>
      <c r="F241" s="13"/>
      <c r="I241" s="1" t="s">
        <v>4702</v>
      </c>
      <c r="K241" s="748">
        <v>100</v>
      </c>
      <c r="L241" s="744">
        <f>D236</f>
        <v>29.583333333333332</v>
      </c>
      <c r="M241" s="733">
        <f>K241+L241</f>
        <v>129.58333333333334</v>
      </c>
    </row>
    <row r="242" spans="1:13" x14ac:dyDescent="0.2">
      <c r="K242" s="724" t="s">
        <v>4723</v>
      </c>
      <c r="L242" s="12"/>
      <c r="M242" s="12"/>
    </row>
    <row r="243" spans="1:13" x14ac:dyDescent="0.2">
      <c r="K243" s="724" t="s">
        <v>4724</v>
      </c>
      <c r="L243" s="12"/>
      <c r="M243" s="12"/>
    </row>
    <row r="244" spans="1:13" x14ac:dyDescent="0.2">
      <c r="K244" s="724">
        <v>4</v>
      </c>
      <c r="L244" s="12"/>
      <c r="M244" s="12"/>
    </row>
    <row r="245" spans="1:13" ht="17" thickBot="1" x14ac:dyDescent="0.25">
      <c r="K245" s="749" t="s">
        <v>4725</v>
      </c>
      <c r="L245" s="12"/>
      <c r="M245" s="12"/>
    </row>
    <row r="246" spans="1:13" x14ac:dyDescent="0.2">
      <c r="A246" s="1" t="s">
        <v>4722</v>
      </c>
    </row>
    <row r="247" spans="1:13" x14ac:dyDescent="0.2">
      <c r="B247" s="1" t="s">
        <v>4709</v>
      </c>
      <c r="D247" s="1">
        <v>6</v>
      </c>
      <c r="F247" s="1" t="s">
        <v>4710</v>
      </c>
    </row>
    <row r="249" spans="1:13" x14ac:dyDescent="0.2">
      <c r="B249" s="1" t="s">
        <v>4711</v>
      </c>
    </row>
    <row r="250" spans="1:13" x14ac:dyDescent="0.2">
      <c r="B250" s="1" t="s">
        <v>4712</v>
      </c>
    </row>
    <row r="251" spans="1:13" x14ac:dyDescent="0.2">
      <c r="B251" s="848" t="s">
        <v>4713</v>
      </c>
      <c r="C251" s="848"/>
      <c r="D251" s="1">
        <v>3</v>
      </c>
      <c r="E251" s="1" t="s">
        <v>4717</v>
      </c>
    </row>
    <row r="252" spans="1:13" x14ac:dyDescent="0.2">
      <c r="B252" s="848" t="s">
        <v>4714</v>
      </c>
      <c r="C252" s="848"/>
      <c r="D252" s="1">
        <v>2</v>
      </c>
      <c r="E252" s="1" t="s">
        <v>4718</v>
      </c>
    </row>
    <row r="254" spans="1:13" x14ac:dyDescent="0.2">
      <c r="B254" s="1" t="s">
        <v>4715</v>
      </c>
    </row>
    <row r="255" spans="1:13" x14ac:dyDescent="0.2">
      <c r="C255" s="1" t="s">
        <v>4716</v>
      </c>
      <c r="D255" s="1">
        <v>3</v>
      </c>
      <c r="E255" s="1" t="s">
        <v>4719</v>
      </c>
    </row>
    <row r="262" spans="1:21" x14ac:dyDescent="0.2">
      <c r="A262" s="390" t="s">
        <v>4728</v>
      </c>
      <c r="B262" s="390"/>
      <c r="C262" s="390"/>
      <c r="D262" s="390"/>
      <c r="E262" s="390"/>
      <c r="F262" s="390"/>
      <c r="G262" s="390"/>
      <c r="H262" s="390"/>
      <c r="I262" s="390"/>
      <c r="J262" s="390"/>
    </row>
    <row r="263" spans="1:21" ht="17" thickBot="1" x14ac:dyDescent="0.25"/>
    <row r="264" spans="1:21" ht="17" thickBot="1" x14ac:dyDescent="0.25">
      <c r="A264" s="25" t="s">
        <v>9</v>
      </c>
      <c r="B264" s="25"/>
      <c r="C264" s="25" t="s">
        <v>107</v>
      </c>
      <c r="D264" s="25" t="s">
        <v>6</v>
      </c>
      <c r="E264" s="25" t="s">
        <v>7</v>
      </c>
      <c r="F264" s="25" t="s">
        <v>124</v>
      </c>
      <c r="G264" s="25" t="s">
        <v>4</v>
      </c>
      <c r="H264" s="25" t="s">
        <v>5</v>
      </c>
      <c r="K264" s="2" t="s">
        <v>4732</v>
      </c>
      <c r="L264" s="2"/>
      <c r="M264" s="2"/>
      <c r="O264" s="283" t="s">
        <v>4733</v>
      </c>
      <c r="P264" s="121"/>
      <c r="Q264" s="121"/>
      <c r="R264" s="121"/>
      <c r="S264" s="147"/>
    </row>
    <row r="265" spans="1:21" x14ac:dyDescent="0.2">
      <c r="A265" s="1" t="s">
        <v>24</v>
      </c>
      <c r="C265" s="1">
        <v>100</v>
      </c>
      <c r="F265" s="1">
        <v>100</v>
      </c>
      <c r="K265" s="1" t="s">
        <v>68</v>
      </c>
      <c r="M265" s="13">
        <f>P296</f>
        <v>375</v>
      </c>
    </row>
    <row r="266" spans="1:21" ht="17" thickBot="1" x14ac:dyDescent="0.25">
      <c r="A266" s="1" t="s">
        <v>1450</v>
      </c>
      <c r="C266" s="1">
        <v>29</v>
      </c>
      <c r="H266" s="1">
        <v>29</v>
      </c>
      <c r="K266" s="1" t="s">
        <v>95</v>
      </c>
      <c r="M266" s="13">
        <f>-P302</f>
        <v>-138</v>
      </c>
      <c r="O266" s="81" t="s">
        <v>6</v>
      </c>
      <c r="P266" s="25"/>
      <c r="Q266" s="25"/>
      <c r="R266" s="81" t="s">
        <v>1042</v>
      </c>
      <c r="S266" s="81"/>
      <c r="T266" s="81"/>
      <c r="U266" s="81"/>
    </row>
    <row r="267" spans="1:21" ht="17" thickBot="1" x14ac:dyDescent="0.25">
      <c r="A267" s="1" t="s">
        <v>260</v>
      </c>
      <c r="C267" s="1">
        <v>12</v>
      </c>
      <c r="H267" s="1">
        <v>12</v>
      </c>
      <c r="I267" s="1" t="s">
        <v>4773</v>
      </c>
      <c r="K267" s="1" t="s">
        <v>71</v>
      </c>
      <c r="M267" s="469">
        <f>M265+M266</f>
        <v>237</v>
      </c>
    </row>
    <row r="268" spans="1:21" x14ac:dyDescent="0.2">
      <c r="A268" s="1" t="s">
        <v>1449</v>
      </c>
      <c r="C268" s="1">
        <v>13</v>
      </c>
      <c r="H268" s="1">
        <v>13</v>
      </c>
      <c r="K268" s="13" t="s">
        <v>1185</v>
      </c>
      <c r="L268" s="13"/>
      <c r="M268" s="750">
        <f>-P325</f>
        <v>-54.4</v>
      </c>
      <c r="O268" s="2" t="s">
        <v>1431</v>
      </c>
      <c r="R268" s="2" t="s">
        <v>1434</v>
      </c>
    </row>
    <row r="269" spans="1:21" x14ac:dyDescent="0.2">
      <c r="A269" s="1" t="s">
        <v>4587</v>
      </c>
      <c r="C269" s="1">
        <v>24</v>
      </c>
      <c r="E269" s="1">
        <v>24</v>
      </c>
      <c r="K269" s="1" t="s">
        <v>1186</v>
      </c>
      <c r="M269" s="744">
        <f>-P320</f>
        <v>-264.68333333333334</v>
      </c>
      <c r="O269" s="1" t="s">
        <v>133</v>
      </c>
      <c r="Q269" s="1">
        <f>D286</f>
        <v>300</v>
      </c>
      <c r="R269" s="1" t="s">
        <v>22</v>
      </c>
      <c r="U269" s="1">
        <f>E279</f>
        <v>140</v>
      </c>
    </row>
    <row r="270" spans="1:21" x14ac:dyDescent="0.2">
      <c r="A270" s="1" t="s">
        <v>258</v>
      </c>
      <c r="C270" s="1">
        <v>17</v>
      </c>
      <c r="H270" s="1">
        <v>17</v>
      </c>
      <c r="K270" s="13" t="s">
        <v>1437</v>
      </c>
      <c r="L270" s="13"/>
      <c r="M270" s="13">
        <f>P328</f>
        <v>100</v>
      </c>
      <c r="O270" s="1" t="s">
        <v>14</v>
      </c>
      <c r="Q270" s="1">
        <f>D285+D280</f>
        <v>365</v>
      </c>
      <c r="R270" s="1" t="s">
        <v>16</v>
      </c>
      <c r="U270" s="1">
        <f>E293</f>
        <v>70</v>
      </c>
    </row>
    <row r="271" spans="1:21" ht="17" thickBot="1" x14ac:dyDescent="0.25">
      <c r="A271" s="1" t="s">
        <v>4588</v>
      </c>
      <c r="C271" s="1">
        <v>22</v>
      </c>
      <c r="H271" s="1">
        <v>22</v>
      </c>
      <c r="K271" s="13" t="s">
        <v>2187</v>
      </c>
      <c r="L271" s="13"/>
      <c r="M271" s="13">
        <v>0</v>
      </c>
      <c r="O271" s="1" t="s">
        <v>63</v>
      </c>
      <c r="Q271" s="1">
        <v>90</v>
      </c>
      <c r="R271" s="1" t="s">
        <v>4799</v>
      </c>
      <c r="U271" s="1">
        <f>E269+E276</f>
        <v>124</v>
      </c>
    </row>
    <row r="272" spans="1:21" ht="17" thickBot="1" x14ac:dyDescent="0.25">
      <c r="A272" s="1" t="s">
        <v>4589</v>
      </c>
      <c r="C272" s="1">
        <v>72</v>
      </c>
      <c r="H272" s="1">
        <v>72</v>
      </c>
      <c r="I272" s="449" t="s">
        <v>4774</v>
      </c>
      <c r="K272" s="13" t="s">
        <v>1503</v>
      </c>
      <c r="L272" s="13"/>
      <c r="M272" s="752">
        <f>SUM(M267:M271)</f>
        <v>17.916666666666657</v>
      </c>
      <c r="Q272" s="753">
        <f>SUM(Q269:Q271)</f>
        <v>755</v>
      </c>
      <c r="U272" s="753">
        <f>SUM(U269:U271)</f>
        <v>334</v>
      </c>
    </row>
    <row r="273" spans="1:25" x14ac:dyDescent="0.2">
      <c r="A273" s="1" t="s">
        <v>4590</v>
      </c>
      <c r="C273" s="1">
        <v>15</v>
      </c>
      <c r="H273" s="1">
        <v>15</v>
      </c>
      <c r="K273" s="1" t="s">
        <v>1188</v>
      </c>
      <c r="M273" s="1">
        <f>-P334</f>
        <v>-37</v>
      </c>
    </row>
    <row r="274" spans="1:25" ht="17" thickBot="1" x14ac:dyDescent="0.25">
      <c r="A274" s="1" t="s">
        <v>100</v>
      </c>
      <c r="C274" s="1">
        <v>15</v>
      </c>
      <c r="H274" s="1">
        <v>-15</v>
      </c>
      <c r="K274" s="1" t="s">
        <v>1189</v>
      </c>
      <c r="M274" s="1">
        <f>P339</f>
        <v>42</v>
      </c>
      <c r="O274" s="2" t="s">
        <v>1432</v>
      </c>
      <c r="R274" s="2" t="s">
        <v>1520</v>
      </c>
    </row>
    <row r="275" spans="1:25" ht="17" thickBot="1" x14ac:dyDescent="0.25">
      <c r="A275" s="1" t="s">
        <v>116</v>
      </c>
      <c r="C275" s="1">
        <v>10</v>
      </c>
      <c r="G275" s="1">
        <v>-10</v>
      </c>
      <c r="I275" s="751" t="s">
        <v>4779</v>
      </c>
      <c r="K275" s="1" t="s">
        <v>4734</v>
      </c>
      <c r="M275" s="382">
        <f>SUM(M272:M274)</f>
        <v>22.916666666666657</v>
      </c>
      <c r="O275" s="1" t="s">
        <v>17</v>
      </c>
      <c r="Q275" s="372">
        <f>V311</f>
        <v>735.41666666666674</v>
      </c>
      <c r="R275" s="1" t="s">
        <v>23</v>
      </c>
      <c r="U275" s="753">
        <f>E278</f>
        <v>80</v>
      </c>
    </row>
    <row r="276" spans="1:25" ht="17" thickBot="1" x14ac:dyDescent="0.25">
      <c r="A276" s="3" t="s">
        <v>4682</v>
      </c>
      <c r="B276" s="3"/>
      <c r="E276" s="187">
        <f>200-100</f>
        <v>100</v>
      </c>
      <c r="K276" s="1" t="s">
        <v>1505</v>
      </c>
      <c r="M276" s="1">
        <v>0</v>
      </c>
      <c r="N276" s="1" t="s">
        <v>4780</v>
      </c>
      <c r="O276" s="1" t="s">
        <v>1438</v>
      </c>
      <c r="Q276" s="1">
        <f>D297</f>
        <v>500</v>
      </c>
    </row>
    <row r="277" spans="1:25" ht="17" thickBot="1" x14ac:dyDescent="0.25">
      <c r="A277" s="1" t="s">
        <v>1250</v>
      </c>
      <c r="C277" s="1">
        <v>11</v>
      </c>
      <c r="G277" s="1">
        <v>11</v>
      </c>
      <c r="I277" s="1" t="s">
        <v>4781</v>
      </c>
      <c r="K277" s="1" t="s">
        <v>1506</v>
      </c>
      <c r="M277" s="382">
        <f>M275+M276</f>
        <v>22.916666666666657</v>
      </c>
      <c r="Q277" s="756">
        <f>SUM(Q275:Q276)</f>
        <v>1235.4166666666667</v>
      </c>
    </row>
    <row r="278" spans="1:25" x14ac:dyDescent="0.2">
      <c r="A278" s="1" t="s">
        <v>23</v>
      </c>
      <c r="C278" s="1">
        <v>80</v>
      </c>
      <c r="E278" s="1">
        <v>80</v>
      </c>
      <c r="R278" s="2" t="s">
        <v>124</v>
      </c>
    </row>
    <row r="279" spans="1:25" x14ac:dyDescent="0.2">
      <c r="A279" s="1" t="s">
        <v>22</v>
      </c>
      <c r="C279" s="1">
        <v>140</v>
      </c>
      <c r="E279" s="1">
        <v>140</v>
      </c>
      <c r="K279" s="1" t="s">
        <v>4782</v>
      </c>
      <c r="R279" s="1" t="s">
        <v>24</v>
      </c>
      <c r="U279" s="1">
        <f>F265</f>
        <v>100</v>
      </c>
    </row>
    <row r="280" spans="1:25" ht="17" thickBot="1" x14ac:dyDescent="0.25">
      <c r="A280" s="3" t="s">
        <v>4671</v>
      </c>
      <c r="B280" s="3"/>
      <c r="D280" s="187">
        <v>-35</v>
      </c>
      <c r="K280" s="1" t="s">
        <v>4783</v>
      </c>
      <c r="R280" s="1" t="s">
        <v>1164</v>
      </c>
      <c r="U280" s="372">
        <f>Y283</f>
        <v>1476.4166666666667</v>
      </c>
      <c r="V280" s="2" t="s">
        <v>4800</v>
      </c>
    </row>
    <row r="281" spans="1:25" ht="17" thickBot="1" x14ac:dyDescent="0.25">
      <c r="A281" s="1" t="s">
        <v>2924</v>
      </c>
      <c r="C281" s="1">
        <v>12</v>
      </c>
      <c r="H281" s="1">
        <v>12</v>
      </c>
      <c r="U281" s="756">
        <f>U279+U280</f>
        <v>1576.4166666666667</v>
      </c>
      <c r="V281" s="1" t="s">
        <v>4801</v>
      </c>
      <c r="Y281" s="1">
        <v>1453.5</v>
      </c>
    </row>
    <row r="282" spans="1:25" ht="17" thickBot="1" x14ac:dyDescent="0.25">
      <c r="A282" s="1" t="s">
        <v>109</v>
      </c>
      <c r="C282" s="1">
        <v>31</v>
      </c>
      <c r="G282" s="1">
        <v>31</v>
      </c>
      <c r="V282" s="1" t="s">
        <v>4802</v>
      </c>
      <c r="Y282" s="372">
        <f>M277</f>
        <v>22.916666666666657</v>
      </c>
    </row>
    <row r="283" spans="1:25" ht="17" thickBot="1" x14ac:dyDescent="0.25">
      <c r="A283" s="1" t="s">
        <v>1192</v>
      </c>
      <c r="C283" s="1">
        <v>15</v>
      </c>
      <c r="G283" s="1">
        <v>-15</v>
      </c>
      <c r="V283" s="1" t="s">
        <v>4803</v>
      </c>
      <c r="Y283" s="382">
        <f>Y281+Y282</f>
        <v>1476.4166666666667</v>
      </c>
    </row>
    <row r="284" spans="1:25" ht="17" thickBot="1" x14ac:dyDescent="0.25">
      <c r="A284" s="1" t="s">
        <v>101</v>
      </c>
      <c r="C284" s="1">
        <v>22</v>
      </c>
      <c r="H284" s="1">
        <v>-22</v>
      </c>
      <c r="O284" s="1" t="s">
        <v>1433</v>
      </c>
      <c r="Q284" s="756">
        <f>Q272+Q277</f>
        <v>1990.4166666666667</v>
      </c>
      <c r="R284" s="1" t="s">
        <v>1435</v>
      </c>
      <c r="U284" s="756">
        <f>U272+U275+U281</f>
        <v>1990.4166666666667</v>
      </c>
    </row>
    <row r="285" spans="1:25" x14ac:dyDescent="0.2">
      <c r="A285" s="1" t="s">
        <v>14</v>
      </c>
      <c r="C285" s="1">
        <v>400</v>
      </c>
      <c r="D285" s="1">
        <v>400</v>
      </c>
    </row>
    <row r="286" spans="1:25" x14ac:dyDescent="0.2">
      <c r="A286" s="1" t="s">
        <v>133</v>
      </c>
      <c r="C286" s="1">
        <v>300</v>
      </c>
      <c r="D286" s="1">
        <v>300</v>
      </c>
    </row>
    <row r="287" spans="1:25" x14ac:dyDescent="0.2">
      <c r="A287" s="1" t="s">
        <v>1241</v>
      </c>
      <c r="D287" s="3">
        <v>70</v>
      </c>
    </row>
    <row r="288" spans="1:25" x14ac:dyDescent="0.2">
      <c r="A288" s="187" t="s">
        <v>1373</v>
      </c>
      <c r="B288" s="187"/>
      <c r="D288" s="733">
        <f>-M240</f>
        <v>-34.583333333333329</v>
      </c>
    </row>
    <row r="289" spans="1:25" x14ac:dyDescent="0.2">
      <c r="A289" s="1" t="s">
        <v>4629</v>
      </c>
      <c r="D289" s="3">
        <v>1000</v>
      </c>
    </row>
    <row r="290" spans="1:25" x14ac:dyDescent="0.2">
      <c r="A290" s="187" t="s">
        <v>4726</v>
      </c>
      <c r="B290" s="732"/>
      <c r="D290" s="187">
        <v>-300</v>
      </c>
    </row>
    <row r="291" spans="1:25" x14ac:dyDescent="0.2">
      <c r="A291" s="1" t="s">
        <v>68</v>
      </c>
      <c r="C291" s="1">
        <v>400</v>
      </c>
      <c r="G291" s="1">
        <v>400</v>
      </c>
    </row>
    <row r="292" spans="1:25" x14ac:dyDescent="0.2">
      <c r="A292" s="1" t="s">
        <v>3507</v>
      </c>
      <c r="H292" s="3">
        <v>65</v>
      </c>
      <c r="L292" s="2" t="s">
        <v>4772</v>
      </c>
      <c r="S292" s="2" t="s">
        <v>27</v>
      </c>
      <c r="Y292" s="2" t="s">
        <v>1155</v>
      </c>
    </row>
    <row r="293" spans="1:25" x14ac:dyDescent="0.2">
      <c r="A293" s="1" t="s">
        <v>16</v>
      </c>
      <c r="C293" s="1">
        <v>70</v>
      </c>
      <c r="E293" s="1">
        <v>70</v>
      </c>
      <c r="L293" s="1" t="s">
        <v>4735</v>
      </c>
      <c r="P293" s="1">
        <f>G291</f>
        <v>400</v>
      </c>
      <c r="S293" s="1" t="s">
        <v>4784</v>
      </c>
      <c r="Y293" s="1" t="s">
        <v>4796</v>
      </c>
    </row>
    <row r="294" spans="1:25" x14ac:dyDescent="0.2">
      <c r="A294" s="1" t="s">
        <v>955</v>
      </c>
      <c r="F294" s="157" t="s">
        <v>4804</v>
      </c>
      <c r="L294" s="1" t="s">
        <v>75</v>
      </c>
      <c r="P294" s="1">
        <f>G275</f>
        <v>-10</v>
      </c>
      <c r="S294" s="1" t="s">
        <v>4785</v>
      </c>
      <c r="Y294" s="1" t="s">
        <v>4797</v>
      </c>
    </row>
    <row r="295" spans="1:25" ht="17" thickBot="1" x14ac:dyDescent="0.25">
      <c r="A295" s="1" t="s">
        <v>1453</v>
      </c>
      <c r="C295" s="1">
        <v>8</v>
      </c>
      <c r="H295" s="1">
        <v>8</v>
      </c>
      <c r="L295" s="1" t="s">
        <v>1569</v>
      </c>
      <c r="P295" s="1">
        <f>G283</f>
        <v>-15</v>
      </c>
      <c r="Y295" s="1" t="s">
        <v>4798</v>
      </c>
    </row>
    <row r="296" spans="1:25" ht="17" thickBot="1" x14ac:dyDescent="0.25">
      <c r="A296" s="1" t="s">
        <v>3398</v>
      </c>
      <c r="C296" s="1">
        <v>4</v>
      </c>
      <c r="H296" s="1">
        <v>4</v>
      </c>
      <c r="L296" s="1" t="s">
        <v>4736</v>
      </c>
      <c r="P296" s="22">
        <f>SUM(P293:P295)</f>
        <v>375</v>
      </c>
      <c r="S296" s="1" t="s">
        <v>4786</v>
      </c>
      <c r="U296" s="1">
        <v>300</v>
      </c>
    </row>
    <row r="297" spans="1:25" ht="17" thickBot="1" x14ac:dyDescent="0.25">
      <c r="A297" s="1" t="s">
        <v>4595</v>
      </c>
      <c r="C297" s="1">
        <v>500</v>
      </c>
      <c r="D297" s="1">
        <v>500</v>
      </c>
      <c r="S297" s="1" t="s">
        <v>4787</v>
      </c>
      <c r="U297" s="1">
        <f>D280</f>
        <v>-35</v>
      </c>
    </row>
    <row r="298" spans="1:25" ht="17" thickBot="1" x14ac:dyDescent="0.25">
      <c r="A298" s="1" t="s">
        <v>259</v>
      </c>
      <c r="C298" s="1">
        <v>200</v>
      </c>
      <c r="H298" s="1">
        <v>200</v>
      </c>
      <c r="L298" s="2" t="s">
        <v>1487</v>
      </c>
      <c r="S298" s="1" t="s">
        <v>4788</v>
      </c>
      <c r="U298" s="22">
        <f>U296+U297</f>
        <v>265</v>
      </c>
    </row>
    <row r="299" spans="1:25" x14ac:dyDescent="0.2">
      <c r="A299" s="187" t="s">
        <v>4672</v>
      </c>
      <c r="B299" s="187"/>
      <c r="H299" s="187">
        <v>22.5</v>
      </c>
      <c r="L299" s="1" t="s">
        <v>1620</v>
      </c>
      <c r="P299" s="1">
        <f>H292</f>
        <v>65</v>
      </c>
    </row>
    <row r="300" spans="1:25" x14ac:dyDescent="0.2">
      <c r="A300" s="187" t="s">
        <v>4683</v>
      </c>
      <c r="B300" s="187"/>
      <c r="G300" s="187">
        <v>100</v>
      </c>
      <c r="L300" s="1" t="s">
        <v>4745</v>
      </c>
      <c r="P300" s="1">
        <f>P309</f>
        <v>163</v>
      </c>
      <c r="S300" s="2" t="s">
        <v>4789</v>
      </c>
    </row>
    <row r="301" spans="1:25" ht="17" thickBot="1" x14ac:dyDescent="0.25">
      <c r="A301" s="187" t="s">
        <v>4694</v>
      </c>
      <c r="B301" s="187"/>
      <c r="H301" s="187">
        <v>-90</v>
      </c>
      <c r="L301" s="1" t="s">
        <v>4737</v>
      </c>
      <c r="P301" s="1">
        <f>H301</f>
        <v>-90</v>
      </c>
      <c r="S301" s="1" t="s">
        <v>4790</v>
      </c>
    </row>
    <row r="302" spans="1:25" ht="17" thickBot="1" x14ac:dyDescent="0.25">
      <c r="A302" s="187" t="s">
        <v>4695</v>
      </c>
      <c r="B302" s="187"/>
      <c r="D302" s="187">
        <v>90</v>
      </c>
      <c r="L302" s="1" t="s">
        <v>4738</v>
      </c>
      <c r="P302" s="22">
        <f>SUM(P299:P301)</f>
        <v>138</v>
      </c>
      <c r="S302" s="1" t="s">
        <v>4791</v>
      </c>
    </row>
    <row r="303" spans="1:25" x14ac:dyDescent="0.2">
      <c r="A303" s="187" t="s">
        <v>4727</v>
      </c>
      <c r="B303" s="187"/>
      <c r="H303" s="733">
        <f>M241</f>
        <v>129.58333333333334</v>
      </c>
      <c r="S303" s="1" t="s">
        <v>4792</v>
      </c>
    </row>
    <row r="304" spans="1:25" ht="17" thickBot="1" x14ac:dyDescent="0.25">
      <c r="L304" s="2" t="s">
        <v>4739</v>
      </c>
    </row>
    <row r="305" spans="1:22" ht="17" thickBot="1" x14ac:dyDescent="0.25">
      <c r="A305" s="1" t="s">
        <v>272</v>
      </c>
      <c r="D305" s="728">
        <f>SUM(D265:D304)</f>
        <v>1990.4166666666665</v>
      </c>
      <c r="E305" s="728">
        <f t="shared" ref="E305:G305" si="2">SUM(E265:E304)</f>
        <v>414</v>
      </c>
      <c r="F305" s="728">
        <f>100+1453.5</f>
        <v>1553.5</v>
      </c>
      <c r="G305" s="728">
        <f t="shared" si="2"/>
        <v>517</v>
      </c>
      <c r="H305" s="17">
        <f>SUM(H265:H304)</f>
        <v>494.08333333333337</v>
      </c>
      <c r="L305" s="1" t="s">
        <v>4740</v>
      </c>
      <c r="P305" s="1">
        <f>H298</f>
        <v>200</v>
      </c>
      <c r="S305" s="2" t="s">
        <v>53</v>
      </c>
    </row>
    <row r="306" spans="1:22" x14ac:dyDescent="0.2">
      <c r="L306" s="1" t="s">
        <v>4741</v>
      </c>
      <c r="P306" s="1">
        <v>0</v>
      </c>
      <c r="S306" s="1" t="s">
        <v>4793</v>
      </c>
    </row>
    <row r="307" spans="1:22" x14ac:dyDescent="0.2">
      <c r="D307" s="1">
        <f>D305</f>
        <v>1990.4166666666665</v>
      </c>
      <c r="L307" s="1" t="s">
        <v>4742</v>
      </c>
      <c r="P307" s="1">
        <f>H274</f>
        <v>-15</v>
      </c>
      <c r="S307" s="1" t="s">
        <v>4794</v>
      </c>
    </row>
    <row r="308" spans="1:22" ht="17" thickBot="1" x14ac:dyDescent="0.25">
      <c r="D308" s="1">
        <f>E305+F305+G305-H305</f>
        <v>1990.4166666666665</v>
      </c>
      <c r="L308" s="1" t="s">
        <v>4743</v>
      </c>
      <c r="P308" s="1">
        <f>H284</f>
        <v>-22</v>
      </c>
      <c r="T308" s="25" t="s">
        <v>677</v>
      </c>
      <c r="U308" s="25" t="s">
        <v>650</v>
      </c>
      <c r="V308" s="25" t="s">
        <v>2358</v>
      </c>
    </row>
    <row r="309" spans="1:22" ht="17" thickBot="1" x14ac:dyDescent="0.25">
      <c r="L309" s="1" t="s">
        <v>4744</v>
      </c>
      <c r="P309" s="22">
        <f>SUM(P305:P308)</f>
        <v>163</v>
      </c>
      <c r="S309" s="1" t="s">
        <v>4795</v>
      </c>
      <c r="T309" s="1">
        <f>D289</f>
        <v>1000</v>
      </c>
      <c r="U309" s="1">
        <v>300</v>
      </c>
      <c r="V309" s="1">
        <f>T309-U309</f>
        <v>700</v>
      </c>
    </row>
    <row r="310" spans="1:22" ht="17" thickBot="1" x14ac:dyDescent="0.25">
      <c r="S310" s="1" t="s">
        <v>245</v>
      </c>
      <c r="T310" s="1">
        <f>D287</f>
        <v>70</v>
      </c>
      <c r="U310" s="372">
        <f>-D288</f>
        <v>34.583333333333329</v>
      </c>
      <c r="V310" s="372">
        <f>T310-U310</f>
        <v>35.416666666666671</v>
      </c>
    </row>
    <row r="311" spans="1:22" ht="17" thickBot="1" x14ac:dyDescent="0.25">
      <c r="L311" s="2" t="s">
        <v>1209</v>
      </c>
      <c r="S311" s="1" t="s">
        <v>272</v>
      </c>
      <c r="T311" s="146">
        <f>T309+T310</f>
        <v>1070</v>
      </c>
      <c r="U311" s="754">
        <f>U309+U310</f>
        <v>334.58333333333331</v>
      </c>
      <c r="V311" s="755">
        <f>T311-U311</f>
        <v>735.41666666666674</v>
      </c>
    </row>
    <row r="312" spans="1:22" x14ac:dyDescent="0.2">
      <c r="L312" s="1" t="s">
        <v>1450</v>
      </c>
      <c r="P312" s="1">
        <f>H266</f>
        <v>29</v>
      </c>
    </row>
    <row r="313" spans="1:22" x14ac:dyDescent="0.2">
      <c r="L313" s="1" t="s">
        <v>260</v>
      </c>
      <c r="P313" s="1">
        <f>H267</f>
        <v>12</v>
      </c>
    </row>
    <row r="314" spans="1:22" x14ac:dyDescent="0.2">
      <c r="L314" s="1" t="s">
        <v>1449</v>
      </c>
      <c r="P314" s="1">
        <f>H268</f>
        <v>13</v>
      </c>
    </row>
    <row r="315" spans="1:22" x14ac:dyDescent="0.2">
      <c r="L315" s="1" t="s">
        <v>4588</v>
      </c>
      <c r="P315" s="1">
        <f>H271</f>
        <v>22</v>
      </c>
    </row>
    <row r="316" spans="1:22" x14ac:dyDescent="0.2">
      <c r="L316" s="1" t="s">
        <v>4589</v>
      </c>
      <c r="P316" s="1">
        <f>30%*H272</f>
        <v>21.599999999999998</v>
      </c>
      <c r="Q316" s="1" t="s">
        <v>4746</v>
      </c>
    </row>
    <row r="317" spans="1:22" x14ac:dyDescent="0.2">
      <c r="L317" s="1" t="s">
        <v>4590</v>
      </c>
      <c r="P317" s="1">
        <f>H273</f>
        <v>15</v>
      </c>
    </row>
    <row r="318" spans="1:22" x14ac:dyDescent="0.2">
      <c r="L318" s="14" t="s">
        <v>385</v>
      </c>
      <c r="M318" s="13"/>
      <c r="P318" s="1">
        <f>H299</f>
        <v>22.5</v>
      </c>
    </row>
    <row r="319" spans="1:22" ht="17" thickBot="1" x14ac:dyDescent="0.25">
      <c r="L319" s="14" t="s">
        <v>693</v>
      </c>
      <c r="M319" s="13"/>
      <c r="P319" s="372">
        <f>H303</f>
        <v>129.58333333333334</v>
      </c>
    </row>
    <row r="320" spans="1:22" ht="17" thickBot="1" x14ac:dyDescent="0.25">
      <c r="L320" s="1" t="s">
        <v>4747</v>
      </c>
      <c r="P320" s="382">
        <f>SUM(P312:P319)</f>
        <v>264.68333333333334</v>
      </c>
    </row>
    <row r="322" spans="12:17" x14ac:dyDescent="0.2">
      <c r="L322" s="2" t="s">
        <v>1204</v>
      </c>
    </row>
    <row r="323" spans="12:17" x14ac:dyDescent="0.2">
      <c r="L323" s="1" t="s">
        <v>4589</v>
      </c>
      <c r="P323" s="1">
        <f>70%*H272</f>
        <v>50.4</v>
      </c>
      <c r="Q323" s="1" t="s">
        <v>4748</v>
      </c>
    </row>
    <row r="324" spans="12:17" ht="17" thickBot="1" x14ac:dyDescent="0.25">
      <c r="L324" s="1" t="s">
        <v>3398</v>
      </c>
      <c r="P324" s="1">
        <f>H296</f>
        <v>4</v>
      </c>
    </row>
    <row r="325" spans="12:17" ht="17" thickBot="1" x14ac:dyDescent="0.25">
      <c r="L325" s="1" t="s">
        <v>4749</v>
      </c>
      <c r="P325" s="740">
        <f>P323+P324</f>
        <v>54.4</v>
      </c>
    </row>
    <row r="327" spans="12:17" ht="17" thickBot="1" x14ac:dyDescent="0.25">
      <c r="L327" s="2" t="s">
        <v>4750</v>
      </c>
    </row>
    <row r="328" spans="12:17" ht="17" thickBot="1" x14ac:dyDescent="0.25">
      <c r="L328" s="1" t="s">
        <v>4751</v>
      </c>
      <c r="P328" s="22">
        <f>G300</f>
        <v>100</v>
      </c>
    </row>
    <row r="330" spans="12:17" x14ac:dyDescent="0.2">
      <c r="L330" s="2" t="s">
        <v>4775</v>
      </c>
    </row>
    <row r="331" spans="12:17" x14ac:dyDescent="0.2">
      <c r="L331" s="1" t="s">
        <v>3510</v>
      </c>
      <c r="P331" s="1">
        <f>H281</f>
        <v>12</v>
      </c>
    </row>
    <row r="332" spans="12:17" x14ac:dyDescent="0.2">
      <c r="L332" s="1" t="s">
        <v>1453</v>
      </c>
      <c r="P332" s="1">
        <f>H295</f>
        <v>8</v>
      </c>
    </row>
    <row r="333" spans="12:17" ht="17" thickBot="1" x14ac:dyDescent="0.25">
      <c r="L333" s="1" t="s">
        <v>258</v>
      </c>
      <c r="P333" s="1">
        <v>17</v>
      </c>
    </row>
    <row r="334" spans="12:17" ht="17" thickBot="1" x14ac:dyDescent="0.25">
      <c r="L334" s="1" t="s">
        <v>4777</v>
      </c>
      <c r="P334" s="22">
        <f>SUM(P331:P333)</f>
        <v>37</v>
      </c>
    </row>
    <row r="336" spans="12:17" x14ac:dyDescent="0.2">
      <c r="L336" s="2" t="s">
        <v>1583</v>
      </c>
    </row>
    <row r="337" spans="12:16" x14ac:dyDescent="0.2">
      <c r="L337" s="1" t="s">
        <v>4776</v>
      </c>
      <c r="P337" s="1">
        <f>G282</f>
        <v>31</v>
      </c>
    </row>
    <row r="338" spans="12:16" ht="17" thickBot="1" x14ac:dyDescent="0.25">
      <c r="L338" s="1" t="s">
        <v>1250</v>
      </c>
      <c r="P338" s="1">
        <v>11</v>
      </c>
    </row>
    <row r="339" spans="12:16" ht="17" thickBot="1" x14ac:dyDescent="0.25">
      <c r="L339" s="1" t="s">
        <v>4778</v>
      </c>
      <c r="P339" s="22">
        <f>P337+P338</f>
        <v>42</v>
      </c>
    </row>
  </sheetData>
  <mergeCells count="2">
    <mergeCell ref="B251:C251"/>
    <mergeCell ref="B252:C25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270CA-F18D-D340-9937-8C0E7EBC871C}">
  <dimension ref="A1:N269"/>
  <sheetViews>
    <sheetView rightToLeft="1" topLeftCell="A231" zoomScale="192" workbookViewId="0">
      <selection activeCell="H179" sqref="H179"/>
    </sheetView>
  </sheetViews>
  <sheetFormatPr baseColWidth="10" defaultRowHeight="16" x14ac:dyDescent="0.2"/>
  <cols>
    <col min="1" max="16384" width="10.83203125" style="1"/>
  </cols>
  <sheetData>
    <row r="1" spans="1:8" x14ac:dyDescent="0.2">
      <c r="A1" s="1" t="s">
        <v>4805</v>
      </c>
      <c r="H1" s="120">
        <v>46036</v>
      </c>
    </row>
    <row r="3" spans="1:8" x14ac:dyDescent="0.2">
      <c r="A3" s="1" t="s">
        <v>4806</v>
      </c>
    </row>
    <row r="4" spans="1:8" x14ac:dyDescent="0.2">
      <c r="A4" s="1" t="s">
        <v>4807</v>
      </c>
    </row>
    <row r="6" spans="1:8" x14ac:dyDescent="0.2">
      <c r="A6" s="1" t="s">
        <v>4808</v>
      </c>
    </row>
    <row r="21" spans="1:6" x14ac:dyDescent="0.2">
      <c r="A21" s="1" t="s">
        <v>4809</v>
      </c>
    </row>
    <row r="22" spans="1:6" x14ac:dyDescent="0.2">
      <c r="D22" s="36" t="s">
        <v>283</v>
      </c>
      <c r="E22" s="36" t="s">
        <v>282</v>
      </c>
    </row>
    <row r="23" spans="1:6" x14ac:dyDescent="0.2">
      <c r="A23" s="1" t="s">
        <v>275</v>
      </c>
      <c r="B23" s="1" t="s">
        <v>133</v>
      </c>
      <c r="D23" s="24">
        <v>100000</v>
      </c>
    </row>
    <row r="24" spans="1:6" x14ac:dyDescent="0.2">
      <c r="B24" s="1" t="s">
        <v>24</v>
      </c>
      <c r="E24" s="24">
        <v>100000</v>
      </c>
    </row>
    <row r="26" spans="1:6" x14ac:dyDescent="0.2">
      <c r="A26" s="1" t="s">
        <v>276</v>
      </c>
      <c r="B26" s="1" t="s">
        <v>133</v>
      </c>
      <c r="D26" s="24">
        <v>200000</v>
      </c>
    </row>
    <row r="27" spans="1:6" x14ac:dyDescent="0.2">
      <c r="B27" s="1" t="s">
        <v>3611</v>
      </c>
      <c r="E27" s="24">
        <f>D26</f>
        <v>200000</v>
      </c>
    </row>
    <row r="29" spans="1:6" x14ac:dyDescent="0.2">
      <c r="A29" s="1" t="s">
        <v>279</v>
      </c>
      <c r="B29" s="1" t="s">
        <v>1425</v>
      </c>
      <c r="D29" s="24">
        <v>400000</v>
      </c>
      <c r="F29" s="1" t="s">
        <v>4811</v>
      </c>
    </row>
    <row r="30" spans="1:6" x14ac:dyDescent="0.2">
      <c r="B30" s="1" t="s">
        <v>4810</v>
      </c>
      <c r="E30" s="24">
        <v>400000</v>
      </c>
      <c r="F30" s="1" t="s">
        <v>4812</v>
      </c>
    </row>
    <row r="31" spans="1:6" x14ac:dyDescent="0.2">
      <c r="F31" s="1" t="s">
        <v>4813</v>
      </c>
    </row>
    <row r="32" spans="1:6" x14ac:dyDescent="0.2">
      <c r="A32" s="1" t="s">
        <v>280</v>
      </c>
      <c r="B32" s="1" t="s">
        <v>4026</v>
      </c>
      <c r="D32" s="24">
        <v>30000</v>
      </c>
    </row>
    <row r="33" spans="1:6" x14ac:dyDescent="0.2">
      <c r="B33" s="1" t="s">
        <v>133</v>
      </c>
      <c r="E33" s="24">
        <v>10000</v>
      </c>
    </row>
    <row r="34" spans="1:6" x14ac:dyDescent="0.2">
      <c r="B34" s="1" t="s">
        <v>4814</v>
      </c>
      <c r="E34" s="24">
        <v>2000</v>
      </c>
    </row>
    <row r="35" spans="1:6" x14ac:dyDescent="0.2">
      <c r="B35" s="1" t="s">
        <v>16</v>
      </c>
      <c r="E35" s="24">
        <v>18000</v>
      </c>
    </row>
    <row r="37" spans="1:6" x14ac:dyDescent="0.2">
      <c r="A37" s="1" t="s">
        <v>277</v>
      </c>
      <c r="B37" s="1" t="s">
        <v>3611</v>
      </c>
      <c r="D37" s="24">
        <v>200000</v>
      </c>
      <c r="F37" s="1" t="s">
        <v>4816</v>
      </c>
    </row>
    <row r="38" spans="1:6" x14ac:dyDescent="0.2">
      <c r="B38" s="1" t="s">
        <v>258</v>
      </c>
      <c r="D38" s="24">
        <v>25000</v>
      </c>
    </row>
    <row r="39" spans="1:6" x14ac:dyDescent="0.2">
      <c r="B39" s="1" t="s">
        <v>133</v>
      </c>
      <c r="E39" s="24">
        <v>225000</v>
      </c>
      <c r="F39" s="1" t="s">
        <v>4815</v>
      </c>
    </row>
    <row r="64" ht="17" thickBot="1" x14ac:dyDescent="0.25"/>
    <row r="65" spans="1:11" x14ac:dyDescent="0.2">
      <c r="A65" s="18" t="s">
        <v>4817</v>
      </c>
      <c r="B65" s="100"/>
      <c r="C65" s="100"/>
      <c r="D65" s="100"/>
      <c r="E65" s="100"/>
      <c r="F65" s="100"/>
      <c r="G65" s="100"/>
      <c r="H65" s="100"/>
      <c r="I65" s="100"/>
      <c r="J65" s="100"/>
      <c r="K65" s="19"/>
    </row>
    <row r="66" spans="1:11" x14ac:dyDescent="0.2">
      <c r="A66" s="106" t="s">
        <v>4818</v>
      </c>
      <c r="K66" s="107"/>
    </row>
    <row r="67" spans="1:11" x14ac:dyDescent="0.2">
      <c r="A67" s="106" t="s">
        <v>4819</v>
      </c>
      <c r="K67" s="107"/>
    </row>
    <row r="68" spans="1:11" x14ac:dyDescent="0.2">
      <c r="A68" s="106"/>
      <c r="K68" s="107"/>
    </row>
    <row r="69" spans="1:11" x14ac:dyDescent="0.2">
      <c r="A69" s="106"/>
      <c r="B69" s="3" t="s">
        <v>4828</v>
      </c>
      <c r="C69" s="3"/>
      <c r="D69" s="79" t="s">
        <v>4823</v>
      </c>
      <c r="E69" s="79"/>
      <c r="F69" s="16" t="s">
        <v>4822</v>
      </c>
      <c r="G69" s="16"/>
      <c r="H69" s="537" t="s">
        <v>4829</v>
      </c>
      <c r="I69" s="537"/>
      <c r="J69" s="537"/>
      <c r="K69" s="107"/>
    </row>
    <row r="70" spans="1:11" x14ac:dyDescent="0.2">
      <c r="A70" s="106" t="s">
        <v>319</v>
      </c>
      <c r="B70" s="3" t="s">
        <v>4820</v>
      </c>
      <c r="C70" s="3"/>
      <c r="D70" s="79" t="s">
        <v>4821</v>
      </c>
      <c r="E70" s="79"/>
      <c r="F70" s="16" t="s">
        <v>328</v>
      </c>
      <c r="G70" s="16"/>
      <c r="H70" s="537" t="s">
        <v>446</v>
      </c>
      <c r="I70" s="537"/>
      <c r="J70" s="537"/>
      <c r="K70" s="107"/>
    </row>
    <row r="71" spans="1:11" x14ac:dyDescent="0.2">
      <c r="A71" s="106">
        <v>2022</v>
      </c>
      <c r="B71" s="1" t="s">
        <v>1806</v>
      </c>
      <c r="D71" s="24">
        <v>20000</v>
      </c>
      <c r="F71" s="1" t="s">
        <v>4833</v>
      </c>
      <c r="H71" s="1" t="s">
        <v>4830</v>
      </c>
      <c r="K71" s="107"/>
    </row>
    <row r="72" spans="1:11" x14ac:dyDescent="0.2">
      <c r="A72" s="106"/>
      <c r="B72" s="1" t="s">
        <v>1702</v>
      </c>
      <c r="F72" s="1" t="s">
        <v>4836</v>
      </c>
      <c r="K72" s="107"/>
    </row>
    <row r="73" spans="1:11" x14ac:dyDescent="0.2">
      <c r="A73" s="106"/>
      <c r="K73" s="107"/>
    </row>
    <row r="74" spans="1:11" x14ac:dyDescent="0.2">
      <c r="A74" s="106">
        <v>2023</v>
      </c>
      <c r="B74" s="1" t="s">
        <v>4824</v>
      </c>
      <c r="D74" s="24">
        <v>150000</v>
      </c>
      <c r="F74" s="1" t="s">
        <v>4834</v>
      </c>
      <c r="H74" s="1" t="s">
        <v>4831</v>
      </c>
      <c r="K74" s="107"/>
    </row>
    <row r="75" spans="1:11" x14ac:dyDescent="0.2">
      <c r="A75" s="106"/>
      <c r="B75" s="1" t="s">
        <v>4825</v>
      </c>
      <c r="F75" s="1" t="s">
        <v>4837</v>
      </c>
      <c r="K75" s="107"/>
    </row>
    <row r="76" spans="1:11" x14ac:dyDescent="0.2">
      <c r="A76" s="106"/>
      <c r="F76" s="1" t="s">
        <v>4838</v>
      </c>
      <c r="K76" s="107"/>
    </row>
    <row r="77" spans="1:11" x14ac:dyDescent="0.2">
      <c r="A77" s="106"/>
      <c r="K77" s="107"/>
    </row>
    <row r="78" spans="1:11" x14ac:dyDescent="0.2">
      <c r="A78" s="106">
        <v>2024</v>
      </c>
      <c r="B78" s="1" t="s">
        <v>4826</v>
      </c>
      <c r="D78" s="24">
        <v>30000</v>
      </c>
      <c r="F78" s="1" t="s">
        <v>4835</v>
      </c>
      <c r="H78" s="1" t="s">
        <v>4832</v>
      </c>
      <c r="K78" s="107"/>
    </row>
    <row r="79" spans="1:11" ht="17" thickBot="1" x14ac:dyDescent="0.25">
      <c r="A79" s="20"/>
      <c r="B79" s="103" t="s">
        <v>4827</v>
      </c>
      <c r="C79" s="103"/>
      <c r="D79" s="103"/>
      <c r="E79" s="103"/>
      <c r="F79" s="103" t="s">
        <v>4839</v>
      </c>
      <c r="G79" s="103"/>
      <c r="H79" s="103"/>
      <c r="I79" s="103"/>
      <c r="J79" s="103"/>
      <c r="K79" s="21"/>
    </row>
    <row r="83" spans="9:10" x14ac:dyDescent="0.2">
      <c r="I83" s="87" t="s">
        <v>4852</v>
      </c>
      <c r="J83" s="24">
        <v>900000</v>
      </c>
    </row>
    <row r="89" spans="9:10" x14ac:dyDescent="0.2">
      <c r="I89" s="1" t="s">
        <v>4853</v>
      </c>
    </row>
    <row r="90" spans="9:10" x14ac:dyDescent="0.2">
      <c r="I90" s="87" t="s">
        <v>4852</v>
      </c>
      <c r="J90" s="1">
        <f>400000*7%+500000*8%</f>
        <v>68000</v>
      </c>
    </row>
    <row r="97" spans="1:8" x14ac:dyDescent="0.2">
      <c r="A97" s="1" t="s">
        <v>4840</v>
      </c>
    </row>
    <row r="98" spans="1:8" x14ac:dyDescent="0.2">
      <c r="A98" s="1" t="s">
        <v>4841</v>
      </c>
    </row>
    <row r="99" spans="1:8" x14ac:dyDescent="0.2">
      <c r="A99" s="1" t="s">
        <v>4842</v>
      </c>
    </row>
    <row r="100" spans="1:8" x14ac:dyDescent="0.2">
      <c r="A100" s="1" t="s">
        <v>4843</v>
      </c>
    </row>
    <row r="102" spans="1:8" x14ac:dyDescent="0.2">
      <c r="C102" s="848" t="s">
        <v>423</v>
      </c>
      <c r="D102" s="848"/>
      <c r="E102" s="848" t="s">
        <v>4846</v>
      </c>
      <c r="F102" s="848"/>
      <c r="G102" s="848" t="s">
        <v>385</v>
      </c>
      <c r="H102" s="848"/>
    </row>
    <row r="103" spans="1:8" x14ac:dyDescent="0.2">
      <c r="A103" s="25" t="s">
        <v>386</v>
      </c>
      <c r="B103" s="25"/>
      <c r="C103" s="25" t="s">
        <v>4844</v>
      </c>
      <c r="D103" s="25" t="s">
        <v>4845</v>
      </c>
      <c r="E103" s="25" t="s">
        <v>4848</v>
      </c>
      <c r="F103" s="25" t="s">
        <v>4847</v>
      </c>
      <c r="G103" s="25" t="s">
        <v>4849</v>
      </c>
      <c r="H103" s="25" t="s">
        <v>4850</v>
      </c>
    </row>
    <row r="104" spans="1:8" x14ac:dyDescent="0.2">
      <c r="A104" s="1" t="s">
        <v>4851</v>
      </c>
      <c r="C104" s="41">
        <v>900000</v>
      </c>
      <c r="F104" s="41">
        <f>J90</f>
        <v>68000</v>
      </c>
    </row>
    <row r="105" spans="1:8" x14ac:dyDescent="0.2">
      <c r="A105" s="1" t="s">
        <v>4854</v>
      </c>
      <c r="C105" s="41">
        <v>200000</v>
      </c>
    </row>
    <row r="106" spans="1:8" x14ac:dyDescent="0.2">
      <c r="A106" s="1" t="s">
        <v>4855</v>
      </c>
      <c r="D106" s="41">
        <v>120000</v>
      </c>
    </row>
    <row r="107" spans="1:8" x14ac:dyDescent="0.2">
      <c r="A107" s="1" t="s">
        <v>4856</v>
      </c>
      <c r="D107" s="41">
        <v>12000</v>
      </c>
      <c r="E107" s="41">
        <f>D107</f>
        <v>12000</v>
      </c>
    </row>
    <row r="108" spans="1:8" x14ac:dyDescent="0.2">
      <c r="A108" s="1" t="s">
        <v>4857</v>
      </c>
      <c r="C108" s="25"/>
      <c r="D108" s="25"/>
      <c r="E108" s="25"/>
      <c r="F108" s="757">
        <f>F109-56000</f>
        <v>31120</v>
      </c>
      <c r="G108" s="757">
        <f>F108</f>
        <v>31120</v>
      </c>
      <c r="H108" s="25"/>
    </row>
    <row r="109" spans="1:8" x14ac:dyDescent="0.2">
      <c r="A109" s="1" t="s">
        <v>4858</v>
      </c>
      <c r="C109" s="41">
        <f>SUM(C104:C108)-SUM(D104:D108)</f>
        <v>968000</v>
      </c>
      <c r="F109" s="41">
        <f>C109*9%</f>
        <v>87120</v>
      </c>
      <c r="G109" s="41">
        <f>G108</f>
        <v>31120</v>
      </c>
    </row>
    <row r="113" spans="1:6" x14ac:dyDescent="0.2">
      <c r="A113" s="1" t="s">
        <v>4859</v>
      </c>
    </row>
    <row r="114" spans="1:6" x14ac:dyDescent="0.2">
      <c r="A114" s="1" t="s">
        <v>4860</v>
      </c>
    </row>
    <row r="115" spans="1:6" x14ac:dyDescent="0.2">
      <c r="B115" s="1" t="s">
        <v>4861</v>
      </c>
      <c r="D115" s="24">
        <v>968000</v>
      </c>
    </row>
    <row r="116" spans="1:6" x14ac:dyDescent="0.2">
      <c r="B116" s="1" t="s">
        <v>4862</v>
      </c>
      <c r="D116" s="24">
        <v>87120</v>
      </c>
    </row>
    <row r="117" spans="1:6" x14ac:dyDescent="0.2">
      <c r="B117" s="1" t="s">
        <v>4863</v>
      </c>
      <c r="D117" s="24">
        <f>D115-D116</f>
        <v>880880</v>
      </c>
      <c r="F117" s="1" t="s">
        <v>4864</v>
      </c>
    </row>
    <row r="134" spans="1:7" ht="17" thickBot="1" x14ac:dyDescent="0.25"/>
    <row r="135" spans="1:7" x14ac:dyDescent="0.2">
      <c r="A135" s="18" t="s">
        <v>4840</v>
      </c>
      <c r="B135" s="100"/>
      <c r="C135" s="100"/>
      <c r="D135" s="100"/>
      <c r="E135" s="100"/>
      <c r="F135" s="100"/>
      <c r="G135" s="19"/>
    </row>
    <row r="136" spans="1:7" x14ac:dyDescent="0.2">
      <c r="A136" s="106" t="s">
        <v>4866</v>
      </c>
      <c r="G136" s="107"/>
    </row>
    <row r="137" spans="1:7" x14ac:dyDescent="0.2">
      <c r="A137" s="106"/>
      <c r="G137" s="107"/>
    </row>
    <row r="138" spans="1:7" ht="34" x14ac:dyDescent="0.2">
      <c r="A138" s="758" t="s">
        <v>386</v>
      </c>
      <c r="B138" s="25"/>
      <c r="C138" s="162" t="s">
        <v>4868</v>
      </c>
      <c r="D138" s="162" t="s">
        <v>4870</v>
      </c>
      <c r="E138" s="6" t="s">
        <v>3517</v>
      </c>
      <c r="F138" s="6" t="s">
        <v>1164</v>
      </c>
      <c r="G138" s="62" t="s">
        <v>4865</v>
      </c>
    </row>
    <row r="139" spans="1:7" x14ac:dyDescent="0.2">
      <c r="A139" s="106" t="s">
        <v>4867</v>
      </c>
      <c r="C139" s="44">
        <f>50000*3</f>
        <v>150000</v>
      </c>
      <c r="D139" s="44"/>
      <c r="E139" s="44">
        <f>G139-C139</f>
        <v>220000</v>
      </c>
      <c r="F139" s="44"/>
      <c r="G139" s="605">
        <f>400000-30000</f>
        <v>370000</v>
      </c>
    </row>
    <row r="140" spans="1:7" x14ac:dyDescent="0.2">
      <c r="A140" s="106" t="s">
        <v>4869</v>
      </c>
      <c r="C140" s="44"/>
      <c r="D140" s="44">
        <f>70000*1</f>
        <v>70000</v>
      </c>
      <c r="E140" s="44">
        <f>G140-D140</f>
        <v>25000</v>
      </c>
      <c r="F140" s="44"/>
      <c r="G140" s="605">
        <f>98000-3000</f>
        <v>95000</v>
      </c>
    </row>
    <row r="141" spans="1:7" x14ac:dyDescent="0.2">
      <c r="A141" s="106" t="s">
        <v>4387</v>
      </c>
      <c r="C141" s="44">
        <f>-C139</f>
        <v>-150000</v>
      </c>
      <c r="D141" s="44">
        <f>-C141</f>
        <v>150000</v>
      </c>
      <c r="E141" s="44"/>
      <c r="F141" s="44"/>
      <c r="G141" s="605">
        <v>0</v>
      </c>
    </row>
    <row r="142" spans="1:7" x14ac:dyDescent="0.2">
      <c r="A142" s="106" t="s">
        <v>4871</v>
      </c>
      <c r="C142" s="44"/>
      <c r="D142" s="44">
        <f>(70000+150000)*10%</f>
        <v>22000</v>
      </c>
      <c r="E142" s="44">
        <f>-D142</f>
        <v>-22000</v>
      </c>
      <c r="F142" s="44"/>
      <c r="G142" s="605">
        <v>0</v>
      </c>
    </row>
    <row r="143" spans="1:7" x14ac:dyDescent="0.2">
      <c r="A143" s="106" t="s">
        <v>4872</v>
      </c>
      <c r="C143" s="44"/>
      <c r="D143" s="44"/>
      <c r="E143" s="44"/>
      <c r="F143" s="44">
        <v>320000</v>
      </c>
      <c r="G143" s="605">
        <f>F143</f>
        <v>320000</v>
      </c>
    </row>
    <row r="144" spans="1:7" x14ac:dyDescent="0.2">
      <c r="A144" s="106" t="s">
        <v>4873</v>
      </c>
      <c r="C144" s="44"/>
      <c r="D144" s="44"/>
      <c r="E144" s="44"/>
      <c r="F144" s="44">
        <v>-38000</v>
      </c>
      <c r="G144" s="605">
        <f>F144</f>
        <v>-38000</v>
      </c>
    </row>
    <row r="145" spans="1:7" ht="17" thickBot="1" x14ac:dyDescent="0.25">
      <c r="A145" s="20" t="s">
        <v>4874</v>
      </c>
      <c r="B145" s="103"/>
      <c r="C145" s="759">
        <f>SUM(C139:C144)</f>
        <v>0</v>
      </c>
      <c r="D145" s="759">
        <f>SUM(D139:D144)</f>
        <v>242000</v>
      </c>
      <c r="E145" s="759">
        <f>SUM(E139:E144)</f>
        <v>223000</v>
      </c>
      <c r="F145" s="759">
        <f>SUM(F139:F144)</f>
        <v>282000</v>
      </c>
      <c r="G145" s="760">
        <f>SUM(G139:G144)</f>
        <v>747000</v>
      </c>
    </row>
    <row r="161" spans="1:8" x14ac:dyDescent="0.2">
      <c r="A161" s="1" t="s">
        <v>4840</v>
      </c>
    </row>
    <row r="163" spans="1:8" x14ac:dyDescent="0.2">
      <c r="A163" s="1" t="s">
        <v>4875</v>
      </c>
      <c r="C163" s="120">
        <v>45292</v>
      </c>
    </row>
    <row r="164" spans="1:8" x14ac:dyDescent="0.2">
      <c r="A164" s="2" t="s">
        <v>4876</v>
      </c>
      <c r="B164" s="2"/>
      <c r="C164" s="650">
        <v>350000</v>
      </c>
      <c r="D164" s="2"/>
      <c r="E164" s="2"/>
      <c r="F164" s="1" t="s">
        <v>4877</v>
      </c>
    </row>
    <row r="165" spans="1:8" x14ac:dyDescent="0.2">
      <c r="A165" s="1" t="s">
        <v>4878</v>
      </c>
      <c r="C165" s="120">
        <v>45383</v>
      </c>
    </row>
    <row r="166" spans="1:8" x14ac:dyDescent="0.2">
      <c r="A166" s="2" t="s">
        <v>4879</v>
      </c>
      <c r="B166" s="2"/>
      <c r="C166" s="761">
        <v>45413</v>
      </c>
      <c r="D166" s="1" t="s">
        <v>4881</v>
      </c>
    </row>
    <row r="167" spans="1:8" x14ac:dyDescent="0.2">
      <c r="A167" s="1" t="s">
        <v>4880</v>
      </c>
      <c r="C167" s="120">
        <v>45474</v>
      </c>
    </row>
    <row r="168" spans="1:8" x14ac:dyDescent="0.2">
      <c r="A168" s="1" t="s">
        <v>4882</v>
      </c>
      <c r="C168" s="24">
        <v>50000</v>
      </c>
    </row>
    <row r="169" spans="1:8" x14ac:dyDescent="0.2">
      <c r="A169" s="1" t="s">
        <v>4883</v>
      </c>
      <c r="C169" s="1">
        <v>10</v>
      </c>
    </row>
    <row r="170" spans="1:8" x14ac:dyDescent="0.2">
      <c r="A170" s="1" t="s">
        <v>1301</v>
      </c>
      <c r="C170" s="1" t="s">
        <v>1010</v>
      </c>
    </row>
    <row r="172" spans="1:8" x14ac:dyDescent="0.2">
      <c r="A172" s="538" t="s">
        <v>4885</v>
      </c>
      <c r="B172" s="537"/>
      <c r="C172" s="537"/>
      <c r="D172" s="537"/>
      <c r="E172" s="537"/>
      <c r="F172" s="537"/>
      <c r="G172" s="537"/>
      <c r="H172" s="537"/>
    </row>
    <row r="173" spans="1:8" x14ac:dyDescent="0.2">
      <c r="A173" s="1" t="s">
        <v>4884</v>
      </c>
    </row>
    <row r="175" spans="1:8" x14ac:dyDescent="0.2">
      <c r="C175" s="86">
        <v>45657</v>
      </c>
      <c r="D175" s="86">
        <v>46022</v>
      </c>
    </row>
    <row r="176" spans="1:8" x14ac:dyDescent="0.2">
      <c r="B176" s="1" t="s">
        <v>677</v>
      </c>
      <c r="C176" s="44">
        <f>C164</f>
        <v>350000</v>
      </c>
      <c r="D176" s="44">
        <f>C176</f>
        <v>350000</v>
      </c>
    </row>
    <row r="177" spans="1:8" x14ac:dyDescent="0.2">
      <c r="B177" s="1" t="s">
        <v>2360</v>
      </c>
      <c r="C177" s="44">
        <f>-C180</f>
        <v>-20000</v>
      </c>
      <c r="D177" s="44">
        <f>-C180-D180</f>
        <v>-50000</v>
      </c>
    </row>
    <row r="178" spans="1:8" x14ac:dyDescent="0.2">
      <c r="B178" s="2" t="s">
        <v>2007</v>
      </c>
      <c r="C178" s="762">
        <f>C176+C177</f>
        <v>330000</v>
      </c>
      <c r="D178" s="762">
        <f>D176+D177</f>
        <v>300000</v>
      </c>
      <c r="E178" s="1" t="s">
        <v>4891</v>
      </c>
    </row>
    <row r="179" spans="1:8" x14ac:dyDescent="0.2">
      <c r="C179" s="44"/>
      <c r="D179" s="44"/>
    </row>
    <row r="180" spans="1:8" x14ac:dyDescent="0.2">
      <c r="B180" s="1" t="s">
        <v>693</v>
      </c>
      <c r="C180" s="44">
        <f>D184</f>
        <v>20000</v>
      </c>
      <c r="D180" s="44">
        <f>D187</f>
        <v>30000</v>
      </c>
    </row>
    <row r="182" spans="1:8" x14ac:dyDescent="0.2">
      <c r="A182" s="1" t="s">
        <v>4886</v>
      </c>
    </row>
    <row r="184" spans="1:8" x14ac:dyDescent="0.2">
      <c r="A184" s="1" t="s">
        <v>4139</v>
      </c>
      <c r="D184" s="1">
        <f>300000/10*8/12</f>
        <v>20000</v>
      </c>
      <c r="G184" s="1" t="s">
        <v>4887</v>
      </c>
    </row>
    <row r="185" spans="1:8" x14ac:dyDescent="0.2">
      <c r="A185" s="1" t="s">
        <v>4888</v>
      </c>
    </row>
    <row r="187" spans="1:8" x14ac:dyDescent="0.2">
      <c r="A187" s="1" t="s">
        <v>4140</v>
      </c>
      <c r="D187" s="1">
        <v>30000</v>
      </c>
      <c r="G187" s="1" t="s">
        <v>4890</v>
      </c>
    </row>
    <row r="188" spans="1:8" x14ac:dyDescent="0.2">
      <c r="A188" s="1" t="s">
        <v>4889</v>
      </c>
    </row>
    <row r="190" spans="1:8" x14ac:dyDescent="0.2">
      <c r="A190" s="538" t="s">
        <v>4892</v>
      </c>
      <c r="B190" s="537"/>
      <c r="C190" s="537"/>
      <c r="D190" s="537"/>
      <c r="E190" s="537"/>
      <c r="F190" s="537"/>
      <c r="G190" s="537"/>
      <c r="H190" s="537"/>
    </row>
    <row r="191" spans="1:8" x14ac:dyDescent="0.2">
      <c r="A191" s="1" t="s">
        <v>4893</v>
      </c>
    </row>
    <row r="193" spans="1:9" x14ac:dyDescent="0.2">
      <c r="A193" s="1" t="s">
        <v>4894</v>
      </c>
      <c r="F193" s="23">
        <f>D178</f>
        <v>300000</v>
      </c>
    </row>
    <row r="195" spans="1:9" x14ac:dyDescent="0.2">
      <c r="A195" s="1" t="s">
        <v>4895</v>
      </c>
      <c r="C195" s="41">
        <v>231000</v>
      </c>
    </row>
    <row r="196" spans="1:9" x14ac:dyDescent="0.2">
      <c r="A196" s="1" t="s">
        <v>4896</v>
      </c>
      <c r="C196" s="44">
        <f>-F193</f>
        <v>-300000</v>
      </c>
    </row>
    <row r="197" spans="1:9" x14ac:dyDescent="0.2">
      <c r="A197" s="3" t="s">
        <v>4897</v>
      </c>
      <c r="B197" s="3"/>
      <c r="C197" s="408">
        <f>C195+C196</f>
        <v>-69000</v>
      </c>
      <c r="D197" s="1" t="s">
        <v>4898</v>
      </c>
    </row>
    <row r="198" spans="1:9" ht="17" thickBot="1" x14ac:dyDescent="0.25"/>
    <row r="199" spans="1:9" x14ac:dyDescent="0.2">
      <c r="A199" s="763" t="s">
        <v>4905</v>
      </c>
      <c r="B199" s="764"/>
      <c r="C199" s="764"/>
      <c r="D199" s="764"/>
      <c r="E199" s="764"/>
      <c r="F199" s="764"/>
      <c r="G199" s="764"/>
      <c r="H199" s="764"/>
      <c r="I199" s="765"/>
    </row>
    <row r="200" spans="1:9" x14ac:dyDescent="0.2">
      <c r="A200" s="766"/>
      <c r="B200" s="28"/>
      <c r="C200" s="28"/>
      <c r="D200" s="28"/>
      <c r="E200" s="28"/>
      <c r="F200" s="28"/>
      <c r="G200" s="28"/>
      <c r="H200" s="28"/>
      <c r="I200" s="767"/>
    </row>
    <row r="201" spans="1:9" x14ac:dyDescent="0.2">
      <c r="A201" s="766" t="s">
        <v>4899</v>
      </c>
      <c r="B201" s="28"/>
      <c r="C201" s="28"/>
      <c r="D201" s="28"/>
      <c r="E201" s="28"/>
      <c r="F201" s="28" t="s">
        <v>4900</v>
      </c>
      <c r="G201" s="28"/>
      <c r="H201" s="28"/>
      <c r="I201" s="767"/>
    </row>
    <row r="202" spans="1:9" x14ac:dyDescent="0.2">
      <c r="A202" s="766" t="s">
        <v>4901</v>
      </c>
      <c r="B202" s="28"/>
      <c r="C202" s="28"/>
      <c r="D202" s="28"/>
      <c r="E202" s="28"/>
      <c r="F202" s="28" t="s">
        <v>4901</v>
      </c>
      <c r="G202" s="28"/>
      <c r="H202" s="28"/>
      <c r="I202" s="768">
        <f>C195</f>
        <v>231000</v>
      </c>
    </row>
    <row r="203" spans="1:9" x14ac:dyDescent="0.2">
      <c r="A203" s="766" t="s">
        <v>4902</v>
      </c>
      <c r="B203" s="28"/>
      <c r="C203" s="28"/>
      <c r="D203" s="28"/>
      <c r="E203" s="28"/>
      <c r="F203" s="28" t="s">
        <v>4902</v>
      </c>
      <c r="G203" s="28"/>
      <c r="H203" s="28"/>
      <c r="I203" s="769">
        <f>D176</f>
        <v>350000</v>
      </c>
    </row>
    <row r="204" spans="1:9" x14ac:dyDescent="0.2">
      <c r="A204" s="766" t="s">
        <v>4903</v>
      </c>
      <c r="B204" s="28"/>
      <c r="C204" s="28"/>
      <c r="D204" s="28"/>
      <c r="E204" s="28"/>
      <c r="F204" s="28" t="s">
        <v>4903</v>
      </c>
      <c r="G204" s="28"/>
      <c r="H204" s="28"/>
      <c r="I204" s="769">
        <f>-D177</f>
        <v>50000</v>
      </c>
    </row>
    <row r="205" spans="1:9" ht="17" thickBot="1" x14ac:dyDescent="0.25">
      <c r="A205" s="770" t="s">
        <v>4130</v>
      </c>
      <c r="B205" s="771"/>
      <c r="C205" s="771"/>
      <c r="D205" s="771"/>
      <c r="E205" s="771"/>
      <c r="F205" s="771" t="s">
        <v>4904</v>
      </c>
      <c r="G205" s="771"/>
      <c r="H205" s="771"/>
      <c r="I205" s="772">
        <f>-C197</f>
        <v>69000</v>
      </c>
    </row>
    <row r="206" spans="1:9" x14ac:dyDescent="0.2">
      <c r="A206" s="449"/>
      <c r="B206" s="449"/>
      <c r="C206" s="449"/>
      <c r="D206" s="449"/>
      <c r="E206" s="449"/>
      <c r="F206" s="449"/>
      <c r="G206" s="449"/>
      <c r="H206" s="449"/>
    </row>
    <row r="207" spans="1:9" x14ac:dyDescent="0.2">
      <c r="A207" s="449"/>
      <c r="B207" s="449"/>
      <c r="C207" s="449"/>
      <c r="D207" s="449"/>
      <c r="E207" s="449"/>
      <c r="F207" s="449"/>
      <c r="G207" s="449"/>
      <c r="H207" s="449"/>
    </row>
    <row r="208" spans="1:9" x14ac:dyDescent="0.2">
      <c r="A208" s="449"/>
      <c r="B208" s="449"/>
      <c r="C208" s="449"/>
      <c r="D208" s="449"/>
      <c r="E208" s="449"/>
      <c r="F208" s="449"/>
      <c r="G208" s="449"/>
      <c r="H208" s="449"/>
    </row>
    <row r="217" spans="1:9" x14ac:dyDescent="0.2">
      <c r="A217" s="1" t="s">
        <v>4840</v>
      </c>
    </row>
    <row r="218" spans="1:9" ht="17" thickBot="1" x14ac:dyDescent="0.25"/>
    <row r="219" spans="1:9" x14ac:dyDescent="0.2">
      <c r="A219" s="18" t="s">
        <v>4906</v>
      </c>
      <c r="B219" s="251">
        <v>43831</v>
      </c>
      <c r="C219" s="100"/>
      <c r="D219" s="100"/>
      <c r="E219" s="100"/>
      <c r="F219" s="100"/>
      <c r="G219" s="100"/>
      <c r="H219" s="100"/>
      <c r="I219" s="19"/>
    </row>
    <row r="220" spans="1:9" x14ac:dyDescent="0.2">
      <c r="A220" s="106" t="s">
        <v>677</v>
      </c>
      <c r="B220" s="1">
        <f>150000+15000</f>
        <v>165000</v>
      </c>
      <c r="C220" s="1" t="s">
        <v>4907</v>
      </c>
      <c r="I220" s="107"/>
    </row>
    <row r="221" spans="1:9" x14ac:dyDescent="0.2">
      <c r="A221" s="106" t="s">
        <v>4908</v>
      </c>
      <c r="B221" s="120">
        <v>43862</v>
      </c>
      <c r="I221" s="107"/>
    </row>
    <row r="222" spans="1:9" x14ac:dyDescent="0.2">
      <c r="A222" s="106" t="s">
        <v>4909</v>
      </c>
      <c r="B222" s="120">
        <v>43891</v>
      </c>
      <c r="C222" s="1" t="s">
        <v>4910</v>
      </c>
      <c r="I222" s="107"/>
    </row>
    <row r="223" spans="1:9" x14ac:dyDescent="0.2">
      <c r="A223" s="106" t="s">
        <v>4911</v>
      </c>
      <c r="B223" s="120">
        <v>43952</v>
      </c>
      <c r="I223" s="107"/>
    </row>
    <row r="224" spans="1:9" x14ac:dyDescent="0.2">
      <c r="A224" s="106" t="s">
        <v>1011</v>
      </c>
      <c r="B224" s="24">
        <v>10000</v>
      </c>
      <c r="I224" s="107"/>
    </row>
    <row r="225" spans="1:14" x14ac:dyDescent="0.2">
      <c r="A225" s="106" t="s">
        <v>1009</v>
      </c>
      <c r="B225" s="1" t="s">
        <v>1010</v>
      </c>
      <c r="I225" s="107"/>
    </row>
    <row r="226" spans="1:14" x14ac:dyDescent="0.2">
      <c r="A226" s="106" t="s">
        <v>4025</v>
      </c>
      <c r="B226" s="1" t="s">
        <v>4912</v>
      </c>
      <c r="I226" s="107"/>
    </row>
    <row r="227" spans="1:14" x14ac:dyDescent="0.2">
      <c r="A227" s="106"/>
      <c r="I227" s="107"/>
    </row>
    <row r="228" spans="1:14" x14ac:dyDescent="0.2">
      <c r="A228" s="106" t="s">
        <v>4913</v>
      </c>
      <c r="F228" s="24">
        <v>136583</v>
      </c>
      <c r="I228" s="107"/>
    </row>
    <row r="229" spans="1:14" x14ac:dyDescent="0.2">
      <c r="A229" s="106"/>
      <c r="I229" s="107"/>
    </row>
    <row r="230" spans="1:14" ht="17" thickBot="1" x14ac:dyDescent="0.25">
      <c r="A230" s="20" t="s">
        <v>4914</v>
      </c>
      <c r="B230" s="103"/>
      <c r="C230" s="103"/>
      <c r="D230" s="103"/>
      <c r="E230" s="103"/>
      <c r="F230" s="103"/>
      <c r="G230" s="103"/>
      <c r="H230" s="103"/>
      <c r="I230" s="21"/>
    </row>
    <row r="232" spans="1:14" x14ac:dyDescent="0.2">
      <c r="A232" s="1" t="s">
        <v>4915</v>
      </c>
    </row>
    <row r="233" spans="1:14" ht="17" thickBot="1" x14ac:dyDescent="0.25"/>
    <row r="234" spans="1:14" x14ac:dyDescent="0.2">
      <c r="A234" s="18" t="s">
        <v>4942</v>
      </c>
      <c r="B234" s="100"/>
      <c r="C234" s="100"/>
      <c r="D234" s="100"/>
      <c r="E234" s="100"/>
      <c r="F234" s="19"/>
      <c r="H234" s="18" t="s">
        <v>4947</v>
      </c>
      <c r="I234" s="100"/>
      <c r="J234" s="100"/>
      <c r="K234" s="100"/>
      <c r="L234" s="100"/>
      <c r="M234" s="100"/>
      <c r="N234" s="19"/>
    </row>
    <row r="235" spans="1:14" x14ac:dyDescent="0.2">
      <c r="A235" s="151" t="s">
        <v>4943</v>
      </c>
      <c r="F235" s="107"/>
      <c r="H235" s="106" t="s">
        <v>4948</v>
      </c>
      <c r="N235" s="107"/>
    </row>
    <row r="236" spans="1:14" x14ac:dyDescent="0.2">
      <c r="A236" s="151" t="s">
        <v>4944</v>
      </c>
      <c r="F236" s="107"/>
      <c r="H236" s="106" t="s">
        <v>4949</v>
      </c>
      <c r="N236" s="107"/>
    </row>
    <row r="237" spans="1:14" x14ac:dyDescent="0.2">
      <c r="A237" s="151" t="s">
        <v>4945</v>
      </c>
      <c r="F237" s="107"/>
      <c r="H237" s="106" t="s">
        <v>4950</v>
      </c>
      <c r="N237" s="107"/>
    </row>
    <row r="238" spans="1:14" x14ac:dyDescent="0.2">
      <c r="A238" s="151" t="s">
        <v>4946</v>
      </c>
      <c r="F238" s="107"/>
      <c r="H238" s="106" t="s">
        <v>4951</v>
      </c>
      <c r="N238" s="107"/>
    </row>
    <row r="239" spans="1:14" x14ac:dyDescent="0.2">
      <c r="A239" s="106"/>
      <c r="D239" s="86">
        <v>44561</v>
      </c>
      <c r="F239" s="107"/>
      <c r="H239" s="106"/>
      <c r="N239" s="107"/>
    </row>
    <row r="240" spans="1:14" x14ac:dyDescent="0.2">
      <c r="A240" s="106" t="s">
        <v>4917</v>
      </c>
      <c r="C240" s="1" t="s">
        <v>677</v>
      </c>
      <c r="D240" s="44">
        <v>165000</v>
      </c>
      <c r="F240" s="107"/>
      <c r="H240" s="106"/>
      <c r="N240" s="107"/>
    </row>
    <row r="241" spans="1:14" x14ac:dyDescent="0.2">
      <c r="A241" s="106" t="s">
        <v>4919</v>
      </c>
      <c r="C241" s="1" t="s">
        <v>4916</v>
      </c>
      <c r="D241" s="408">
        <f>D242-D240</f>
        <v>-28417</v>
      </c>
      <c r="E241" s="6" t="s">
        <v>1869</v>
      </c>
      <c r="F241" s="107"/>
      <c r="H241" s="106"/>
      <c r="N241" s="107"/>
    </row>
    <row r="242" spans="1:14" x14ac:dyDescent="0.2">
      <c r="A242" s="106" t="s">
        <v>4918</v>
      </c>
      <c r="C242" s="1" t="s">
        <v>2007</v>
      </c>
      <c r="D242" s="44">
        <f>F228</f>
        <v>136583</v>
      </c>
      <c r="F242" s="107"/>
      <c r="H242" s="106" t="s">
        <v>4921</v>
      </c>
      <c r="N242" s="107"/>
    </row>
    <row r="243" spans="1:14" x14ac:dyDescent="0.2">
      <c r="A243" s="106"/>
      <c r="F243" s="107"/>
      <c r="H243" s="106"/>
      <c r="K243" s="1" t="s">
        <v>4920</v>
      </c>
      <c r="N243" s="107"/>
    </row>
    <row r="244" spans="1:14" x14ac:dyDescent="0.2">
      <c r="A244" s="106"/>
      <c r="F244" s="107"/>
      <c r="H244" s="106"/>
      <c r="N244" s="107"/>
    </row>
    <row r="245" spans="1:14" x14ac:dyDescent="0.2">
      <c r="A245" s="106" t="s">
        <v>4929</v>
      </c>
      <c r="F245" s="107"/>
      <c r="H245" s="106"/>
      <c r="N245" s="107"/>
    </row>
    <row r="246" spans="1:14" x14ac:dyDescent="0.2">
      <c r="A246" s="106" t="s">
        <v>4930</v>
      </c>
      <c r="D246" s="44">
        <f>-D241</f>
        <v>28417</v>
      </c>
      <c r="F246" s="107"/>
      <c r="H246" s="106"/>
      <c r="I246" s="1" t="s">
        <v>4925</v>
      </c>
      <c r="J246" s="28" t="s">
        <v>4922</v>
      </c>
      <c r="K246" s="54" t="s">
        <v>677</v>
      </c>
      <c r="N246" s="107"/>
    </row>
    <row r="247" spans="1:14" x14ac:dyDescent="0.2">
      <c r="A247" s="106"/>
      <c r="F247" s="107"/>
      <c r="H247" s="106"/>
      <c r="I247" s="1" t="s">
        <v>4926</v>
      </c>
      <c r="J247" s="28" t="s">
        <v>4923</v>
      </c>
      <c r="N247" s="107"/>
    </row>
    <row r="248" spans="1:14" x14ac:dyDescent="0.2">
      <c r="A248" s="106"/>
      <c r="F248" s="107"/>
      <c r="H248" s="106"/>
      <c r="I248" s="1" t="s">
        <v>4927</v>
      </c>
      <c r="J248" s="28" t="s">
        <v>4924</v>
      </c>
      <c r="N248" s="107"/>
    </row>
    <row r="249" spans="1:14" x14ac:dyDescent="0.2">
      <c r="A249" s="106" t="s">
        <v>4244</v>
      </c>
      <c r="D249" s="141">
        <f>D246/(1+10/12)</f>
        <v>15500.181818181816</v>
      </c>
      <c r="F249" s="107" t="s">
        <v>4931</v>
      </c>
      <c r="H249" s="106"/>
      <c r="I249" s="1" t="s">
        <v>4928</v>
      </c>
      <c r="N249" s="107"/>
    </row>
    <row r="250" spans="1:14" x14ac:dyDescent="0.2">
      <c r="A250" s="106"/>
      <c r="F250" s="107"/>
      <c r="H250" s="106"/>
      <c r="N250" s="107"/>
    </row>
    <row r="251" spans="1:14" x14ac:dyDescent="0.2">
      <c r="A251" s="106"/>
      <c r="F251" s="107"/>
      <c r="H251" s="106"/>
      <c r="N251" s="107"/>
    </row>
    <row r="252" spans="1:14" x14ac:dyDescent="0.2">
      <c r="A252" s="106" t="s">
        <v>4932</v>
      </c>
      <c r="F252" s="107"/>
      <c r="H252" s="106"/>
      <c r="I252" s="6">
        <v>10</v>
      </c>
      <c r="J252" s="6" t="s">
        <v>2100</v>
      </c>
      <c r="K252" s="1" t="s">
        <v>4935</v>
      </c>
      <c r="N252" s="107"/>
    </row>
    <row r="253" spans="1:14" x14ac:dyDescent="0.2">
      <c r="A253" s="106"/>
      <c r="B253" s="1" t="s">
        <v>4952</v>
      </c>
      <c r="F253" s="107"/>
      <c r="H253" s="106"/>
      <c r="N253" s="107"/>
    </row>
    <row r="254" spans="1:14" x14ac:dyDescent="0.2">
      <c r="A254" s="106"/>
      <c r="D254" s="86">
        <v>44926</v>
      </c>
      <c r="F254" s="107"/>
      <c r="H254" s="106"/>
      <c r="N254" s="107"/>
    </row>
    <row r="255" spans="1:14" x14ac:dyDescent="0.2">
      <c r="A255" s="106"/>
      <c r="C255" s="1" t="s">
        <v>677</v>
      </c>
      <c r="D255" s="44">
        <v>165000</v>
      </c>
      <c r="F255" s="107"/>
      <c r="H255" s="106"/>
      <c r="N255" s="107"/>
    </row>
    <row r="256" spans="1:14" x14ac:dyDescent="0.2">
      <c r="A256" s="106"/>
      <c r="C256" s="1" t="s">
        <v>4916</v>
      </c>
      <c r="D256" s="408">
        <f>D241-D249</f>
        <v>-43917.181818181816</v>
      </c>
      <c r="E256" s="6"/>
      <c r="F256" s="107" t="s">
        <v>4933</v>
      </c>
      <c r="H256" s="106"/>
      <c r="N256" s="107"/>
    </row>
    <row r="257" spans="1:14" x14ac:dyDescent="0.2">
      <c r="A257" s="106"/>
      <c r="C257" s="1" t="s">
        <v>2007</v>
      </c>
      <c r="D257" s="652">
        <f>D255+D256</f>
        <v>121082.81818181818</v>
      </c>
      <c r="F257" s="107"/>
      <c r="H257" s="106"/>
      <c r="J257" s="86">
        <v>44926</v>
      </c>
      <c r="N257" s="107"/>
    </row>
    <row r="258" spans="1:14" ht="17" thickBot="1" x14ac:dyDescent="0.25">
      <c r="A258" s="20"/>
      <c r="B258" s="103"/>
      <c r="C258" s="103"/>
      <c r="D258" s="164" t="s">
        <v>4934</v>
      </c>
      <c r="E258" s="103"/>
      <c r="F258" s="21"/>
      <c r="H258" s="106"/>
      <c r="I258" s="1" t="s">
        <v>677</v>
      </c>
      <c r="J258" s="44">
        <v>165000</v>
      </c>
      <c r="N258" s="107"/>
    </row>
    <row r="259" spans="1:14" x14ac:dyDescent="0.2">
      <c r="H259" s="106"/>
      <c r="I259" s="1" t="s">
        <v>4916</v>
      </c>
      <c r="J259" s="408">
        <f>-155000/10*(2+10/12)</f>
        <v>-43916.666666666672</v>
      </c>
      <c r="M259" s="1" t="s">
        <v>4936</v>
      </c>
      <c r="N259" s="107"/>
    </row>
    <row r="260" spans="1:14" x14ac:dyDescent="0.2">
      <c r="H260" s="106"/>
      <c r="I260" s="1" t="s">
        <v>2007</v>
      </c>
      <c r="J260" s="652">
        <f>J258+J259</f>
        <v>121083.33333333333</v>
      </c>
      <c r="N260" s="107"/>
    </row>
    <row r="261" spans="1:14" x14ac:dyDescent="0.2">
      <c r="H261" s="106"/>
      <c r="J261" s="150" t="s">
        <v>4934</v>
      </c>
      <c r="N261" s="107"/>
    </row>
    <row r="262" spans="1:14" x14ac:dyDescent="0.2">
      <c r="H262" s="106"/>
      <c r="M262" s="1" t="s">
        <v>4922</v>
      </c>
      <c r="N262" s="107"/>
    </row>
    <row r="263" spans="1:14" x14ac:dyDescent="0.2">
      <c r="H263" s="106"/>
      <c r="N263" s="107"/>
    </row>
    <row r="264" spans="1:14" x14ac:dyDescent="0.2">
      <c r="H264" s="106"/>
      <c r="L264" s="1" t="s">
        <v>4937</v>
      </c>
      <c r="N264" s="107"/>
    </row>
    <row r="265" spans="1:14" x14ac:dyDescent="0.2">
      <c r="H265" s="106"/>
      <c r="N265" s="107"/>
    </row>
    <row r="266" spans="1:14" x14ac:dyDescent="0.2">
      <c r="H266" s="106"/>
      <c r="K266" s="1" t="s">
        <v>4938</v>
      </c>
      <c r="N266" s="107"/>
    </row>
    <row r="267" spans="1:14" x14ac:dyDescent="0.2">
      <c r="H267" s="106"/>
      <c r="K267" s="1" t="s">
        <v>4939</v>
      </c>
      <c r="N267" s="107"/>
    </row>
    <row r="268" spans="1:14" x14ac:dyDescent="0.2">
      <c r="H268" s="106"/>
      <c r="K268" s="1" t="s">
        <v>4940</v>
      </c>
      <c r="N268" s="107"/>
    </row>
    <row r="269" spans="1:14" ht="17" thickBot="1" x14ac:dyDescent="0.25">
      <c r="H269" s="20"/>
      <c r="I269" s="103"/>
      <c r="J269" s="103"/>
      <c r="K269" s="103" t="s">
        <v>4941</v>
      </c>
      <c r="L269" s="103"/>
      <c r="M269" s="103"/>
      <c r="N269" s="21"/>
    </row>
  </sheetData>
  <mergeCells count="3">
    <mergeCell ref="C102:D102"/>
    <mergeCell ref="E102:F102"/>
    <mergeCell ref="G102:H102"/>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417C9-9EF6-6643-90D4-5FC1B3C680A9}">
  <dimension ref="A1:R329"/>
  <sheetViews>
    <sheetView rightToLeft="1" zoomScale="350" workbookViewId="0">
      <selection activeCell="D8" sqref="D8"/>
    </sheetView>
  </sheetViews>
  <sheetFormatPr baseColWidth="10" defaultRowHeight="16" x14ac:dyDescent="0.2"/>
  <cols>
    <col min="1" max="16384" width="10.83203125" style="1"/>
  </cols>
  <sheetData>
    <row r="1" spans="1:9" x14ac:dyDescent="0.2">
      <c r="A1" s="3" t="s">
        <v>4953</v>
      </c>
      <c r="B1" s="3"/>
      <c r="C1" s="3"/>
      <c r="D1" s="3"/>
      <c r="E1" s="3"/>
      <c r="F1" s="3"/>
      <c r="G1" s="3"/>
      <c r="H1" s="3"/>
      <c r="I1" s="249">
        <v>46043</v>
      </c>
    </row>
    <row r="3" spans="1:9" x14ac:dyDescent="0.2">
      <c r="A3" s="502" t="s">
        <v>4954</v>
      </c>
      <c r="B3" s="503"/>
      <c r="C3" s="503"/>
      <c r="D3" s="503"/>
      <c r="E3" s="503"/>
      <c r="F3" s="503"/>
      <c r="G3" s="503"/>
      <c r="H3" s="503"/>
      <c r="I3" s="503"/>
    </row>
    <row r="4" spans="1:9" x14ac:dyDescent="0.2">
      <c r="A4" s="1" t="s">
        <v>4955</v>
      </c>
    </row>
    <row r="5" spans="1:9" x14ac:dyDescent="0.2">
      <c r="A5" s="1" t="s">
        <v>4956</v>
      </c>
    </row>
    <row r="6" spans="1:9" x14ac:dyDescent="0.2">
      <c r="A6" s="1" t="s">
        <v>4957</v>
      </c>
    </row>
    <row r="7" spans="1:9" x14ac:dyDescent="0.2">
      <c r="A7" s="1" t="s">
        <v>4958</v>
      </c>
      <c r="G7" s="1" t="s">
        <v>5292</v>
      </c>
    </row>
    <row r="8" spans="1:9" x14ac:dyDescent="0.2">
      <c r="A8" s="1" t="s">
        <v>4959</v>
      </c>
    </row>
    <row r="9" spans="1:9" x14ac:dyDescent="0.2">
      <c r="A9" s="1" t="s">
        <v>4960</v>
      </c>
    </row>
    <row r="11" spans="1:9" x14ac:dyDescent="0.2">
      <c r="A11" s="344" t="s">
        <v>5287</v>
      </c>
      <c r="B11" s="344"/>
      <c r="C11" s="344"/>
      <c r="D11" s="344"/>
      <c r="E11" s="344"/>
      <c r="F11" s="344"/>
      <c r="G11" s="344"/>
      <c r="H11" s="344"/>
      <c r="I11" s="344"/>
    </row>
    <row r="12" spans="1:9" x14ac:dyDescent="0.2">
      <c r="A12" s="344" t="s">
        <v>5288</v>
      </c>
      <c r="B12" s="344"/>
      <c r="C12" s="344"/>
      <c r="D12" s="344"/>
      <c r="E12" s="344"/>
      <c r="F12" s="344"/>
      <c r="G12" s="344"/>
      <c r="H12" s="344"/>
      <c r="I12" s="344"/>
    </row>
    <row r="13" spans="1:9" x14ac:dyDescent="0.2">
      <c r="A13" s="344" t="s">
        <v>5289</v>
      </c>
      <c r="B13" s="344"/>
      <c r="C13" s="344"/>
      <c r="D13" s="344"/>
      <c r="E13" s="344"/>
      <c r="F13" s="344"/>
      <c r="G13" s="344"/>
      <c r="H13" s="344"/>
      <c r="I13" s="344"/>
    </row>
    <row r="14" spans="1:9" x14ac:dyDescent="0.2">
      <c r="A14" s="344" t="s">
        <v>5290</v>
      </c>
      <c r="B14" s="344"/>
      <c r="C14" s="344"/>
      <c r="D14" s="344"/>
      <c r="E14" s="344"/>
      <c r="F14" s="344"/>
      <c r="G14" s="344"/>
      <c r="H14" s="344"/>
      <c r="I14" s="344"/>
    </row>
    <row r="15" spans="1:9" x14ac:dyDescent="0.2">
      <c r="A15" s="344" t="s">
        <v>5291</v>
      </c>
      <c r="B15" s="344"/>
      <c r="C15" s="344"/>
      <c r="D15" s="344"/>
      <c r="E15" s="344"/>
      <c r="F15" s="344"/>
      <c r="G15" s="344"/>
      <c r="H15" s="344"/>
      <c r="I15" s="344"/>
    </row>
    <row r="18" spans="1:9" ht="23" x14ac:dyDescent="0.25">
      <c r="A18" s="787" t="s">
        <v>4961</v>
      </c>
      <c r="B18" s="787"/>
      <c r="C18" s="787"/>
      <c r="D18" s="787"/>
      <c r="E18" s="787"/>
      <c r="F18" s="787"/>
      <c r="G18" s="787"/>
      <c r="H18" s="787"/>
      <c r="I18" s="787"/>
    </row>
    <row r="19" spans="1:9" x14ac:dyDescent="0.2">
      <c r="A19" s="1" t="s">
        <v>4962</v>
      </c>
    </row>
    <row r="21" spans="1:9" ht="51" x14ac:dyDescent="0.2">
      <c r="B21" s="680" t="s">
        <v>4022</v>
      </c>
      <c r="C21" s="682" t="s">
        <v>4963</v>
      </c>
      <c r="D21" s="680" t="s">
        <v>677</v>
      </c>
      <c r="E21" s="680" t="s">
        <v>650</v>
      </c>
      <c r="F21" s="682" t="s">
        <v>4964</v>
      </c>
      <c r="G21" s="680" t="s">
        <v>1009</v>
      </c>
      <c r="H21" s="680"/>
      <c r="I21" s="680" t="s">
        <v>1011</v>
      </c>
    </row>
    <row r="22" spans="1:9" ht="41" customHeight="1" x14ac:dyDescent="0.2">
      <c r="B22" s="682" t="s">
        <v>4965</v>
      </c>
      <c r="C22" s="775">
        <v>43831</v>
      </c>
      <c r="D22" s="680" t="s">
        <v>26</v>
      </c>
      <c r="E22" s="680" t="s">
        <v>26</v>
      </c>
      <c r="F22" s="681">
        <v>350000</v>
      </c>
      <c r="G22" s="680" t="s">
        <v>1010</v>
      </c>
      <c r="H22" s="680"/>
      <c r="I22" s="681">
        <v>10000</v>
      </c>
    </row>
    <row r="23" spans="1:9" ht="34" x14ac:dyDescent="0.2">
      <c r="B23" s="682" t="s">
        <v>4966</v>
      </c>
      <c r="C23" s="775">
        <v>44317</v>
      </c>
      <c r="D23" s="681">
        <v>40000</v>
      </c>
      <c r="E23" s="680" t="s">
        <v>26</v>
      </c>
      <c r="F23" s="680" t="s">
        <v>26</v>
      </c>
      <c r="G23" s="680" t="s">
        <v>3093</v>
      </c>
      <c r="H23" s="680"/>
      <c r="I23" s="680">
        <v>0</v>
      </c>
    </row>
    <row r="25" spans="1:9" x14ac:dyDescent="0.2">
      <c r="A25" s="1" t="s">
        <v>975</v>
      </c>
    </row>
    <row r="26" spans="1:9" x14ac:dyDescent="0.2">
      <c r="A26" s="1" t="s">
        <v>4967</v>
      </c>
    </row>
    <row r="27" spans="1:9" x14ac:dyDescent="0.2">
      <c r="A27" s="1" t="s">
        <v>4968</v>
      </c>
    </row>
    <row r="28" spans="1:9" x14ac:dyDescent="0.2">
      <c r="A28" s="1" t="s">
        <v>4969</v>
      </c>
    </row>
    <row r="29" spans="1:9" x14ac:dyDescent="0.2">
      <c r="A29" s="1" t="s">
        <v>4970</v>
      </c>
    </row>
    <row r="30" spans="1:9" x14ac:dyDescent="0.2">
      <c r="A30" s="1" t="s">
        <v>4971</v>
      </c>
    </row>
    <row r="31" spans="1:9" x14ac:dyDescent="0.2">
      <c r="A31" s="1" t="s">
        <v>5033</v>
      </c>
    </row>
    <row r="32" spans="1:9" x14ac:dyDescent="0.2">
      <c r="A32" s="1" t="s">
        <v>4972</v>
      </c>
    </row>
    <row r="33" spans="1:12" x14ac:dyDescent="0.2">
      <c r="A33" s="1" t="s">
        <v>4973</v>
      </c>
    </row>
    <row r="35" spans="1:12" x14ac:dyDescent="0.2">
      <c r="A35" s="1" t="s">
        <v>195</v>
      </c>
    </row>
    <row r="36" spans="1:12" x14ac:dyDescent="0.2">
      <c r="A36" s="1" t="s">
        <v>4974</v>
      </c>
    </row>
    <row r="37" spans="1:12" x14ac:dyDescent="0.2">
      <c r="A37" s="1" t="s">
        <v>4975</v>
      </c>
    </row>
    <row r="38" spans="1:12" x14ac:dyDescent="0.2">
      <c r="A38" s="1" t="s">
        <v>4976</v>
      </c>
    </row>
    <row r="39" spans="1:12" x14ac:dyDescent="0.2">
      <c r="A39" s="1" t="s">
        <v>4977</v>
      </c>
    </row>
    <row r="44" spans="1:12" ht="17" thickBot="1" x14ac:dyDescent="0.25"/>
    <row r="45" spans="1:12" x14ac:dyDescent="0.2">
      <c r="A45" s="776" t="s">
        <v>4978</v>
      </c>
      <c r="B45" s="777"/>
      <c r="C45" s="777"/>
      <c r="D45" s="777"/>
      <c r="E45" s="777"/>
      <c r="F45" s="777"/>
      <c r="G45" s="777"/>
      <c r="H45" s="777"/>
      <c r="I45" s="777"/>
      <c r="J45" s="100"/>
      <c r="K45" s="100"/>
      <c r="L45" s="19"/>
    </row>
    <row r="46" spans="1:12" x14ac:dyDescent="0.2">
      <c r="A46" s="106" t="s">
        <v>4906</v>
      </c>
      <c r="C46" s="448">
        <v>43831</v>
      </c>
      <c r="L46" s="107"/>
    </row>
    <row r="47" spans="1:12" x14ac:dyDescent="0.2">
      <c r="A47" s="106" t="s">
        <v>4979</v>
      </c>
      <c r="C47" s="448">
        <v>43922</v>
      </c>
      <c r="D47" s="1" t="s">
        <v>4981</v>
      </c>
      <c r="L47" s="107"/>
    </row>
    <row r="48" spans="1:12" x14ac:dyDescent="0.2">
      <c r="A48" s="106" t="s">
        <v>4980</v>
      </c>
      <c r="C48" s="6">
        <v>10</v>
      </c>
      <c r="L48" s="107"/>
    </row>
    <row r="49" spans="1:12" x14ac:dyDescent="0.2">
      <c r="A49" s="106" t="s">
        <v>4982</v>
      </c>
      <c r="C49" s="6" t="s">
        <v>1010</v>
      </c>
      <c r="L49" s="107"/>
    </row>
    <row r="50" spans="1:12" x14ac:dyDescent="0.2">
      <c r="A50" s="106" t="s">
        <v>677</v>
      </c>
      <c r="C50" s="6" t="s">
        <v>4111</v>
      </c>
      <c r="L50" s="107"/>
    </row>
    <row r="51" spans="1:12" x14ac:dyDescent="0.2">
      <c r="A51" s="106" t="s">
        <v>4983</v>
      </c>
      <c r="C51" s="41">
        <v>10000</v>
      </c>
      <c r="L51" s="107"/>
    </row>
    <row r="52" spans="1:12" x14ac:dyDescent="0.2">
      <c r="A52" s="106" t="s">
        <v>4984</v>
      </c>
      <c r="C52" s="41">
        <v>350000</v>
      </c>
      <c r="L52" s="107"/>
    </row>
    <row r="53" spans="1:12" x14ac:dyDescent="0.2">
      <c r="A53" s="106" t="s">
        <v>4969</v>
      </c>
      <c r="L53" s="107"/>
    </row>
    <row r="54" spans="1:12" x14ac:dyDescent="0.2">
      <c r="A54" s="106" t="s">
        <v>4970</v>
      </c>
      <c r="L54" s="107"/>
    </row>
    <row r="55" spans="1:12" x14ac:dyDescent="0.2">
      <c r="A55" s="106" t="s">
        <v>4971</v>
      </c>
      <c r="L55" s="107"/>
    </row>
    <row r="56" spans="1:12" x14ac:dyDescent="0.2">
      <c r="A56" s="106"/>
      <c r="L56" s="107"/>
    </row>
    <row r="57" spans="1:12" x14ac:dyDescent="0.2">
      <c r="A57" s="151" t="s">
        <v>4985</v>
      </c>
      <c r="L57" s="107"/>
    </row>
    <row r="58" spans="1:12" x14ac:dyDescent="0.2">
      <c r="A58" s="106" t="s">
        <v>4986</v>
      </c>
      <c r="L58" s="107"/>
    </row>
    <row r="59" spans="1:12" x14ac:dyDescent="0.2">
      <c r="A59" s="106" t="s">
        <v>4987</v>
      </c>
      <c r="L59" s="107"/>
    </row>
    <row r="60" spans="1:12" x14ac:dyDescent="0.2">
      <c r="A60" s="106" t="s">
        <v>4988</v>
      </c>
      <c r="L60" s="107"/>
    </row>
    <row r="61" spans="1:12" x14ac:dyDescent="0.2">
      <c r="A61" s="106"/>
      <c r="G61" s="1" t="s">
        <v>4989</v>
      </c>
      <c r="L61" s="107"/>
    </row>
    <row r="62" spans="1:12" x14ac:dyDescent="0.2">
      <c r="A62" s="106"/>
      <c r="L62" s="107"/>
    </row>
    <row r="63" spans="1:12" x14ac:dyDescent="0.2">
      <c r="A63" s="106"/>
      <c r="L63" s="107"/>
    </row>
    <row r="64" spans="1:12" x14ac:dyDescent="0.2">
      <c r="A64" s="106"/>
      <c r="E64" s="1" t="s">
        <v>677</v>
      </c>
      <c r="I64" s="1" t="s">
        <v>4991</v>
      </c>
      <c r="L64" s="107"/>
    </row>
    <row r="65" spans="1:12" x14ac:dyDescent="0.2">
      <c r="A65" s="106"/>
      <c r="E65" s="1" t="s">
        <v>4990</v>
      </c>
      <c r="F65" s="1" t="s">
        <v>4993</v>
      </c>
      <c r="I65" s="1" t="s">
        <v>4992</v>
      </c>
      <c r="L65" s="107"/>
    </row>
    <row r="66" spans="1:12" x14ac:dyDescent="0.2">
      <c r="A66" s="106"/>
      <c r="E66" s="1" t="s">
        <v>5000</v>
      </c>
      <c r="F66" s="1" t="s">
        <v>4994</v>
      </c>
      <c r="L66" s="107"/>
    </row>
    <row r="67" spans="1:12" x14ac:dyDescent="0.2">
      <c r="A67" s="106"/>
      <c r="E67" s="120">
        <v>45657</v>
      </c>
      <c r="F67" s="1" t="s">
        <v>4995</v>
      </c>
      <c r="L67" s="107"/>
    </row>
    <row r="68" spans="1:12" x14ac:dyDescent="0.2">
      <c r="A68" s="106"/>
      <c r="E68" s="1" t="s">
        <v>5001</v>
      </c>
      <c r="F68" s="1" t="s">
        <v>4996</v>
      </c>
      <c r="L68" s="107"/>
    </row>
    <row r="69" spans="1:12" x14ac:dyDescent="0.2">
      <c r="A69" s="106"/>
      <c r="F69" s="1" t="s">
        <v>4997</v>
      </c>
      <c r="L69" s="107"/>
    </row>
    <row r="70" spans="1:12" x14ac:dyDescent="0.2">
      <c r="A70" s="106"/>
      <c r="F70" s="1" t="s">
        <v>4998</v>
      </c>
      <c r="L70" s="107"/>
    </row>
    <row r="71" spans="1:12" x14ac:dyDescent="0.2">
      <c r="A71" s="106"/>
      <c r="F71" s="1" t="s">
        <v>4999</v>
      </c>
      <c r="L71" s="107"/>
    </row>
    <row r="72" spans="1:12" x14ac:dyDescent="0.2">
      <c r="A72" s="106"/>
      <c r="L72" s="107"/>
    </row>
    <row r="73" spans="1:12" x14ac:dyDescent="0.2">
      <c r="A73" s="106"/>
      <c r="C73" s="1" t="s">
        <v>5003</v>
      </c>
      <c r="G73" s="157" t="s">
        <v>5002</v>
      </c>
      <c r="H73" s="157"/>
      <c r="L73" s="107"/>
    </row>
    <row r="74" spans="1:12" x14ac:dyDescent="0.2">
      <c r="A74" s="106"/>
      <c r="L74" s="107"/>
    </row>
    <row r="75" spans="1:12" x14ac:dyDescent="0.2">
      <c r="A75" s="106"/>
      <c r="C75" s="1" t="s">
        <v>5004</v>
      </c>
      <c r="G75" s="778">
        <f>657619*2</f>
        <v>1315238</v>
      </c>
      <c r="H75" s="778"/>
      <c r="I75" s="1" t="s">
        <v>5005</v>
      </c>
      <c r="L75" s="107"/>
    </row>
    <row r="76" spans="1:12" x14ac:dyDescent="0.2">
      <c r="A76" s="106"/>
      <c r="L76" s="107"/>
    </row>
    <row r="77" spans="1:12" x14ac:dyDescent="0.2">
      <c r="A77" s="106" t="s">
        <v>5006</v>
      </c>
      <c r="L77" s="107"/>
    </row>
    <row r="78" spans="1:12" x14ac:dyDescent="0.2">
      <c r="A78" s="106" t="s">
        <v>5007</v>
      </c>
      <c r="E78" s="24">
        <f>(657619-10000)/10*0.5</f>
        <v>32380.95</v>
      </c>
      <c r="I78" s="1" t="s">
        <v>5009</v>
      </c>
      <c r="L78" s="107"/>
    </row>
    <row r="79" spans="1:12" x14ac:dyDescent="0.2">
      <c r="A79" s="106" t="s">
        <v>5008</v>
      </c>
      <c r="E79" s="24">
        <f>1315238/8*0.5</f>
        <v>82202.375</v>
      </c>
      <c r="I79" s="1" t="s">
        <v>5010</v>
      </c>
      <c r="L79" s="107"/>
    </row>
    <row r="80" spans="1:12" x14ac:dyDescent="0.2">
      <c r="A80" s="106" t="s">
        <v>5011</v>
      </c>
      <c r="E80" s="779">
        <f>E78+E79</f>
        <v>114583.325</v>
      </c>
      <c r="I80" s="1" t="s">
        <v>5012</v>
      </c>
      <c r="L80" s="107"/>
    </row>
    <row r="81" spans="1:12" x14ac:dyDescent="0.2">
      <c r="A81" s="106"/>
      <c r="L81" s="107"/>
    </row>
    <row r="82" spans="1:12" x14ac:dyDescent="0.2">
      <c r="A82" s="151" t="s">
        <v>5013</v>
      </c>
      <c r="L82" s="107"/>
    </row>
    <row r="83" spans="1:12" x14ac:dyDescent="0.2">
      <c r="A83" s="106" t="s">
        <v>5014</v>
      </c>
      <c r="L83" s="107"/>
    </row>
    <row r="84" spans="1:12" x14ac:dyDescent="0.2">
      <c r="A84" s="106" t="s">
        <v>5015</v>
      </c>
      <c r="L84" s="107"/>
    </row>
    <row r="85" spans="1:12" x14ac:dyDescent="0.2">
      <c r="A85" s="106"/>
      <c r="L85" s="107"/>
    </row>
    <row r="86" spans="1:12" x14ac:dyDescent="0.2">
      <c r="A86" s="106"/>
      <c r="D86" s="1" t="s">
        <v>5016</v>
      </c>
      <c r="L86" s="107"/>
    </row>
    <row r="87" spans="1:12" x14ac:dyDescent="0.2">
      <c r="A87" s="106"/>
      <c r="D87" s="1" t="s">
        <v>677</v>
      </c>
      <c r="F87" s="23">
        <v>657619</v>
      </c>
      <c r="L87" s="107"/>
    </row>
    <row r="88" spans="1:12" x14ac:dyDescent="0.2">
      <c r="A88" s="106"/>
      <c r="D88" s="1" t="s">
        <v>5017</v>
      </c>
      <c r="F88" s="23">
        <f>-(F87-10000)/10*(5.25)</f>
        <v>-339999.97500000003</v>
      </c>
      <c r="J88" s="1" t="s">
        <v>5018</v>
      </c>
      <c r="L88" s="107"/>
    </row>
    <row r="89" spans="1:12" x14ac:dyDescent="0.2">
      <c r="A89" s="106"/>
      <c r="D89" s="1" t="s">
        <v>1400</v>
      </c>
      <c r="F89" s="780">
        <f>F87+F88</f>
        <v>317619.02499999997</v>
      </c>
      <c r="I89" s="1" t="s">
        <v>5019</v>
      </c>
      <c r="L89" s="107"/>
    </row>
    <row r="90" spans="1:12" x14ac:dyDescent="0.2">
      <c r="A90" s="106"/>
      <c r="I90" s="1" t="s">
        <v>5020</v>
      </c>
      <c r="L90" s="107"/>
    </row>
    <row r="91" spans="1:12" x14ac:dyDescent="0.2">
      <c r="A91" s="106"/>
      <c r="L91" s="107"/>
    </row>
    <row r="92" spans="1:12" x14ac:dyDescent="0.2">
      <c r="A92" s="106"/>
      <c r="D92" s="1" t="s">
        <v>941</v>
      </c>
      <c r="F92" s="23">
        <f>F94-F93</f>
        <v>381142.82999999996</v>
      </c>
      <c r="I92" s="1" t="s">
        <v>5022</v>
      </c>
      <c r="L92" s="107"/>
    </row>
    <row r="93" spans="1:12" x14ac:dyDescent="0.2">
      <c r="A93" s="106"/>
      <c r="D93" s="1" t="s">
        <v>1400</v>
      </c>
      <c r="F93" s="23">
        <f>-F89</f>
        <v>-317619.02499999997</v>
      </c>
      <c r="L93" s="107"/>
    </row>
    <row r="94" spans="1:12" x14ac:dyDescent="0.2">
      <c r="A94" s="106"/>
      <c r="D94" s="28" t="s">
        <v>5023</v>
      </c>
      <c r="F94" s="781">
        <f>-20%*F93</f>
        <v>63523.804999999993</v>
      </c>
      <c r="G94" s="1" t="s">
        <v>5021</v>
      </c>
      <c r="L94" s="107"/>
    </row>
    <row r="95" spans="1:12" x14ac:dyDescent="0.2">
      <c r="A95" s="106"/>
      <c r="L95" s="107"/>
    </row>
    <row r="96" spans="1:12" x14ac:dyDescent="0.2">
      <c r="A96" s="151" t="s">
        <v>5024</v>
      </c>
      <c r="L96" s="107"/>
    </row>
    <row r="97" spans="1:12" x14ac:dyDescent="0.2">
      <c r="A97" s="106" t="s">
        <v>5025</v>
      </c>
      <c r="L97" s="107"/>
    </row>
    <row r="98" spans="1:12" x14ac:dyDescent="0.2">
      <c r="A98" s="106"/>
      <c r="D98" s="1" t="s">
        <v>5026</v>
      </c>
      <c r="F98" s="23">
        <f>G75</f>
        <v>1315238</v>
      </c>
      <c r="G98" s="1" t="s">
        <v>5027</v>
      </c>
      <c r="L98" s="107"/>
    </row>
    <row r="99" spans="1:12" x14ac:dyDescent="0.2">
      <c r="A99" s="106"/>
      <c r="D99" s="1" t="s">
        <v>5028</v>
      </c>
      <c r="F99" s="23">
        <f>-E79</f>
        <v>-82202.375</v>
      </c>
      <c r="G99" s="1" t="s">
        <v>5030</v>
      </c>
      <c r="L99" s="107"/>
    </row>
    <row r="100" spans="1:12" ht="17" thickBot="1" x14ac:dyDescent="0.25">
      <c r="A100" s="20"/>
      <c r="B100" s="103"/>
      <c r="C100" s="103"/>
      <c r="D100" s="103" t="s">
        <v>5029</v>
      </c>
      <c r="E100" s="103"/>
      <c r="F100" s="782">
        <f>F98+F99</f>
        <v>1233035.625</v>
      </c>
      <c r="G100" s="103"/>
      <c r="H100" s="103"/>
      <c r="I100" s="103"/>
      <c r="J100" s="103"/>
      <c r="K100" s="103"/>
      <c r="L100" s="21"/>
    </row>
    <row r="101" spans="1:12" ht="17" thickBot="1" x14ac:dyDescent="0.25"/>
    <row r="102" spans="1:12" x14ac:dyDescent="0.2">
      <c r="A102" s="783" t="s">
        <v>5031</v>
      </c>
      <c r="B102" s="537"/>
      <c r="C102" s="537"/>
      <c r="D102" s="537"/>
      <c r="E102" s="537"/>
      <c r="F102" s="537"/>
      <c r="G102" s="537"/>
      <c r="H102" s="537"/>
      <c r="I102" s="537"/>
      <c r="J102" s="537"/>
    </row>
    <row r="117" spans="1:10" x14ac:dyDescent="0.2">
      <c r="A117" s="1" t="s">
        <v>677</v>
      </c>
      <c r="C117" s="24">
        <v>40000</v>
      </c>
    </row>
    <row r="118" spans="1:10" x14ac:dyDescent="0.2">
      <c r="A118" s="1" t="s">
        <v>5032</v>
      </c>
      <c r="C118" s="120">
        <v>44440</v>
      </c>
    </row>
    <row r="119" spans="1:10" x14ac:dyDescent="0.2">
      <c r="A119" s="1" t="s">
        <v>1007</v>
      </c>
      <c r="C119" s="1">
        <v>9</v>
      </c>
      <c r="D119" s="1" t="s">
        <v>1008</v>
      </c>
    </row>
    <row r="120" spans="1:10" x14ac:dyDescent="0.2">
      <c r="A120" s="1" t="s">
        <v>1009</v>
      </c>
      <c r="C120" s="1" t="s">
        <v>3093</v>
      </c>
    </row>
    <row r="121" spans="1:10" x14ac:dyDescent="0.2">
      <c r="A121" s="1" t="s">
        <v>1011</v>
      </c>
      <c r="C121" s="1">
        <v>0</v>
      </c>
    </row>
    <row r="122" spans="1:10" ht="17" thickBot="1" x14ac:dyDescent="0.25"/>
    <row r="123" spans="1:10" ht="17" thickBot="1" x14ac:dyDescent="0.25">
      <c r="A123" s="283" t="s">
        <v>5034</v>
      </c>
      <c r="B123" s="121"/>
      <c r="C123" s="121"/>
      <c r="D123" s="121"/>
      <c r="E123" s="121"/>
      <c r="F123" s="121"/>
      <c r="G123" s="121"/>
      <c r="H123" s="121"/>
      <c r="I123" s="121"/>
      <c r="J123" s="147"/>
    </row>
    <row r="124" spans="1:10" x14ac:dyDescent="0.2">
      <c r="A124" s="1" t="s">
        <v>5035</v>
      </c>
      <c r="E124" s="1">
        <f>9*10/2</f>
        <v>45</v>
      </c>
      <c r="F124" s="1" t="s">
        <v>5036</v>
      </c>
    </row>
    <row r="125" spans="1:10" x14ac:dyDescent="0.2">
      <c r="A125" s="1" t="s">
        <v>5037</v>
      </c>
    </row>
    <row r="127" spans="1:10" x14ac:dyDescent="0.2">
      <c r="A127" s="1" t="s">
        <v>5039</v>
      </c>
      <c r="E127" s="24">
        <f>40000*40%*(6*8/12)/45</f>
        <v>1422.2222222222222</v>
      </c>
      <c r="J127" s="1" t="s">
        <v>5041</v>
      </c>
    </row>
    <row r="128" spans="1:10" x14ac:dyDescent="0.2">
      <c r="A128" s="1" t="s">
        <v>5040</v>
      </c>
      <c r="E128" s="24">
        <f>40000*60%*(6*8/12+5*4/12)/45</f>
        <v>3022.2222222222222</v>
      </c>
      <c r="J128" s="1" t="s">
        <v>5042</v>
      </c>
    </row>
    <row r="129" spans="1:10" x14ac:dyDescent="0.2">
      <c r="A129" s="1" t="s">
        <v>5059</v>
      </c>
      <c r="E129" s="24">
        <f>1333*(9*4/12)/45</f>
        <v>88.86666666666666</v>
      </c>
      <c r="F129" s="1" t="s">
        <v>5088</v>
      </c>
    </row>
    <row r="130" spans="1:10" x14ac:dyDescent="0.2">
      <c r="A130" s="1" t="s">
        <v>5089</v>
      </c>
      <c r="E130" s="786">
        <f>SUM(E127:E129)</f>
        <v>4533.3111111111111</v>
      </c>
      <c r="G130" s="1" t="s">
        <v>5055</v>
      </c>
      <c r="I130" s="1" t="s">
        <v>5049</v>
      </c>
      <c r="J130" s="1" t="s">
        <v>5043</v>
      </c>
    </row>
    <row r="131" spans="1:10" x14ac:dyDescent="0.2">
      <c r="G131" s="1" t="s">
        <v>5056</v>
      </c>
      <c r="I131" s="1" t="s">
        <v>5050</v>
      </c>
      <c r="J131" s="1" t="s">
        <v>5044</v>
      </c>
    </row>
    <row r="132" spans="1:10" x14ac:dyDescent="0.2">
      <c r="G132" s="1" t="s">
        <v>5051</v>
      </c>
      <c r="I132" s="1" t="s">
        <v>5051</v>
      </c>
      <c r="J132" s="1" t="s">
        <v>5045</v>
      </c>
    </row>
    <row r="133" spans="1:10" x14ac:dyDescent="0.2">
      <c r="G133" s="1" t="s">
        <v>5057</v>
      </c>
      <c r="I133" s="1" t="s">
        <v>5052</v>
      </c>
      <c r="J133" s="1" t="s">
        <v>5046</v>
      </c>
    </row>
    <row r="134" spans="1:10" x14ac:dyDescent="0.2">
      <c r="G134" s="1" t="s">
        <v>5058</v>
      </c>
      <c r="I134" s="1" t="s">
        <v>5053</v>
      </c>
      <c r="J134" s="1" t="s">
        <v>5047</v>
      </c>
    </row>
    <row r="135" spans="1:10" x14ac:dyDescent="0.2">
      <c r="G135" s="1" t="s">
        <v>3980</v>
      </c>
      <c r="I135" s="1" t="s">
        <v>5054</v>
      </c>
      <c r="J135" s="1" t="s">
        <v>5048</v>
      </c>
    </row>
    <row r="136" spans="1:10" x14ac:dyDescent="0.2">
      <c r="I136" s="1" t="s">
        <v>3980</v>
      </c>
    </row>
    <row r="138" spans="1:10" x14ac:dyDescent="0.2">
      <c r="A138" s="1" t="s">
        <v>5038</v>
      </c>
    </row>
    <row r="140" spans="1:10" x14ac:dyDescent="0.2">
      <c r="A140" s="1" t="s">
        <v>5060</v>
      </c>
    </row>
    <row r="141" spans="1:10" x14ac:dyDescent="0.2">
      <c r="A141" s="1" t="s">
        <v>5061</v>
      </c>
    </row>
    <row r="143" spans="1:10" x14ac:dyDescent="0.2">
      <c r="C143" s="1" t="s">
        <v>5062</v>
      </c>
      <c r="E143" s="120">
        <v>45901</v>
      </c>
    </row>
    <row r="144" spans="1:10" x14ac:dyDescent="0.2">
      <c r="C144" s="1" t="s">
        <v>5063</v>
      </c>
      <c r="E144" s="23">
        <f>40000*40%</f>
        <v>16000</v>
      </c>
      <c r="G144" s="1" t="s">
        <v>5064</v>
      </c>
    </row>
    <row r="145" spans="1:9" x14ac:dyDescent="0.2">
      <c r="C145" s="1" t="s">
        <v>5065</v>
      </c>
      <c r="E145" s="23">
        <f>-40000*40%*(9+8+7+6)/45</f>
        <v>-10666.666666666666</v>
      </c>
      <c r="I145" s="1" t="s">
        <v>5066</v>
      </c>
    </row>
    <row r="146" spans="1:9" x14ac:dyDescent="0.2">
      <c r="C146" s="1" t="s">
        <v>5069</v>
      </c>
      <c r="E146" s="784">
        <f>E144+E145</f>
        <v>5333.3333333333339</v>
      </c>
      <c r="G146" s="1" t="s">
        <v>5067</v>
      </c>
    </row>
    <row r="147" spans="1:9" x14ac:dyDescent="0.2">
      <c r="G147" s="1" t="s">
        <v>5068</v>
      </c>
    </row>
    <row r="148" spans="1:9" x14ac:dyDescent="0.2">
      <c r="C148" s="1" t="s">
        <v>5070</v>
      </c>
      <c r="E148" s="24">
        <v>4000</v>
      </c>
    </row>
    <row r="150" spans="1:9" x14ac:dyDescent="0.2">
      <c r="C150" s="1" t="s">
        <v>5071</v>
      </c>
      <c r="E150" s="785">
        <f>E146-E148</f>
        <v>1333.3333333333339</v>
      </c>
      <c r="G150" s="1" t="s">
        <v>5072</v>
      </c>
    </row>
    <row r="152" spans="1:9" x14ac:dyDescent="0.2">
      <c r="C152" s="1" t="s">
        <v>5073</v>
      </c>
    </row>
    <row r="154" spans="1:9" x14ac:dyDescent="0.2">
      <c r="A154" s="1" t="s">
        <v>5075</v>
      </c>
      <c r="F154" s="24" t="s">
        <v>5074</v>
      </c>
    </row>
    <row r="157" spans="1:9" x14ac:dyDescent="0.2">
      <c r="E157" s="1" t="s">
        <v>5080</v>
      </c>
      <c r="G157" s="1" t="s">
        <v>5076</v>
      </c>
    </row>
    <row r="158" spans="1:9" x14ac:dyDescent="0.2">
      <c r="E158" s="1" t="s">
        <v>5081</v>
      </c>
      <c r="G158" s="1" t="s">
        <v>5077</v>
      </c>
    </row>
    <row r="159" spans="1:9" x14ac:dyDescent="0.2">
      <c r="E159" s="1" t="s">
        <v>5082</v>
      </c>
      <c r="G159" s="1" t="s">
        <v>5078</v>
      </c>
    </row>
    <row r="160" spans="1:9" x14ac:dyDescent="0.2">
      <c r="E160" s="1" t="s">
        <v>5083</v>
      </c>
      <c r="G160" s="1" t="s">
        <v>5079</v>
      </c>
    </row>
    <row r="161" spans="1:10" x14ac:dyDescent="0.2">
      <c r="E161" s="1" t="s">
        <v>5084</v>
      </c>
    </row>
    <row r="162" spans="1:10" x14ac:dyDescent="0.2">
      <c r="E162" s="1" t="s">
        <v>5085</v>
      </c>
    </row>
    <row r="163" spans="1:10" x14ac:dyDescent="0.2">
      <c r="E163" s="1" t="s">
        <v>5086</v>
      </c>
    </row>
    <row r="164" spans="1:10" x14ac:dyDescent="0.2">
      <c r="E164" s="1" t="s">
        <v>5087</v>
      </c>
    </row>
    <row r="165" spans="1:10" ht="17" thickBot="1" x14ac:dyDescent="0.25"/>
    <row r="166" spans="1:10" ht="17" thickBot="1" x14ac:dyDescent="0.25">
      <c r="A166" s="283" t="s">
        <v>5090</v>
      </c>
      <c r="B166" s="94"/>
      <c r="C166" s="94"/>
      <c r="D166" s="94"/>
      <c r="E166" s="94"/>
      <c r="F166" s="94"/>
      <c r="G166" s="94"/>
      <c r="H166" s="94"/>
      <c r="I166" s="95"/>
    </row>
    <row r="168" spans="1:10" x14ac:dyDescent="0.2">
      <c r="C168" s="1" t="s">
        <v>677</v>
      </c>
      <c r="E168" s="44">
        <f>40000*60%+1333</f>
        <v>25333</v>
      </c>
      <c r="G168" s="1" t="s">
        <v>5091</v>
      </c>
    </row>
    <row r="169" spans="1:10" x14ac:dyDescent="0.2">
      <c r="C169" s="1" t="s">
        <v>650</v>
      </c>
      <c r="E169" s="44">
        <f>-E177</f>
        <v>-16977.755555555555</v>
      </c>
    </row>
    <row r="170" spans="1:10" x14ac:dyDescent="0.2">
      <c r="C170" s="1" t="s">
        <v>2007</v>
      </c>
      <c r="E170" s="190">
        <f>E168+E169</f>
        <v>8355.2444444444445</v>
      </c>
      <c r="I170" s="1" t="s">
        <v>5092</v>
      </c>
    </row>
    <row r="171" spans="1:10" x14ac:dyDescent="0.2">
      <c r="E171" s="6"/>
      <c r="I171" s="1" t="s">
        <v>5093</v>
      </c>
    </row>
    <row r="172" spans="1:10" x14ac:dyDescent="0.2">
      <c r="E172" s="6"/>
      <c r="G172" s="1" t="s">
        <v>1006</v>
      </c>
    </row>
    <row r="173" spans="1:10" x14ac:dyDescent="0.2">
      <c r="E173" s="6"/>
      <c r="G173" s="1" t="s">
        <v>5094</v>
      </c>
    </row>
    <row r="174" spans="1:10" x14ac:dyDescent="0.2">
      <c r="A174" s="1" t="s">
        <v>5095</v>
      </c>
      <c r="E174" s="6"/>
    </row>
    <row r="175" spans="1:10" x14ac:dyDescent="0.2">
      <c r="A175" s="1" t="s">
        <v>5096</v>
      </c>
      <c r="E175" s="41">
        <f>40000*60%*(9+8+7+6+5*4/12)/45</f>
        <v>16888.888888888891</v>
      </c>
      <c r="J175" s="1" t="s">
        <v>5098</v>
      </c>
    </row>
    <row r="176" spans="1:10" x14ac:dyDescent="0.2">
      <c r="A176" s="1" t="s">
        <v>5097</v>
      </c>
      <c r="E176" s="41">
        <f>E129</f>
        <v>88.86666666666666</v>
      </c>
    </row>
    <row r="177" spans="1:16" x14ac:dyDescent="0.2">
      <c r="A177" s="1" t="s">
        <v>5099</v>
      </c>
      <c r="E177" s="48">
        <f>E175+E176</f>
        <v>16977.755555555555</v>
      </c>
    </row>
    <row r="178" spans="1:16" x14ac:dyDescent="0.2">
      <c r="E178" s="6"/>
    </row>
    <row r="179" spans="1:16" ht="23" x14ac:dyDescent="0.25">
      <c r="A179" s="787" t="s">
        <v>5100</v>
      </c>
      <c r="B179" s="787"/>
      <c r="C179" s="787"/>
      <c r="D179" s="787"/>
      <c r="E179" s="787"/>
      <c r="F179" s="787"/>
      <c r="G179" s="787"/>
      <c r="H179" s="787"/>
      <c r="I179" s="787"/>
    </row>
    <row r="180" spans="1:16" x14ac:dyDescent="0.2">
      <c r="A180" s="1" t="s">
        <v>5101</v>
      </c>
    </row>
    <row r="181" spans="1:16" ht="17" thickBot="1" x14ac:dyDescent="0.25">
      <c r="A181" s="1" t="s">
        <v>5102</v>
      </c>
    </row>
    <row r="182" spans="1:16" ht="17" thickTop="1" x14ac:dyDescent="0.2">
      <c r="A182" s="1" t="s">
        <v>5103</v>
      </c>
      <c r="I182" s="792"/>
      <c r="J182" s="673"/>
      <c r="K182" s="920" t="s">
        <v>369</v>
      </c>
      <c r="L182" s="920"/>
      <c r="M182" s="920" t="s">
        <v>370</v>
      </c>
      <c r="N182" s="920"/>
      <c r="O182" s="920" t="s">
        <v>385</v>
      </c>
      <c r="P182" s="921"/>
    </row>
    <row r="183" spans="1:16" x14ac:dyDescent="0.2">
      <c r="A183" s="1" t="s">
        <v>5104</v>
      </c>
      <c r="I183" s="675"/>
      <c r="K183" s="9" t="s">
        <v>155</v>
      </c>
      <c r="L183" s="9" t="s">
        <v>156</v>
      </c>
      <c r="M183" s="9" t="s">
        <v>155</v>
      </c>
      <c r="N183" s="9" t="s">
        <v>156</v>
      </c>
      <c r="O183" s="9" t="s">
        <v>155</v>
      </c>
      <c r="P183" s="793" t="s">
        <v>156</v>
      </c>
    </row>
    <row r="184" spans="1:16" x14ac:dyDescent="0.2">
      <c r="A184" s="1" t="s">
        <v>5105</v>
      </c>
      <c r="I184" s="675" t="s">
        <v>5119</v>
      </c>
      <c r="K184" s="41">
        <v>400000</v>
      </c>
      <c r="L184" s="6"/>
      <c r="M184" s="6"/>
      <c r="N184" s="41">
        <f>400000*70%*5%+ 400000*30%*15%</f>
        <v>32000</v>
      </c>
      <c r="O184" s="6"/>
      <c r="P184" s="794"/>
    </row>
    <row r="185" spans="1:16" x14ac:dyDescent="0.2">
      <c r="A185" s="1" t="s">
        <v>5125</v>
      </c>
      <c r="I185" s="675" t="s">
        <v>5120</v>
      </c>
      <c r="K185" s="41">
        <f>800000-350000</f>
        <v>450000</v>
      </c>
      <c r="L185" s="6"/>
      <c r="M185" s="6"/>
      <c r="N185" s="6"/>
      <c r="O185" s="6"/>
      <c r="P185" s="794"/>
    </row>
    <row r="186" spans="1:16" x14ac:dyDescent="0.2">
      <c r="I186" s="675" t="s">
        <v>5121</v>
      </c>
      <c r="K186" s="6"/>
      <c r="L186" s="41">
        <v>20000</v>
      </c>
      <c r="M186" s="6"/>
      <c r="N186" s="6"/>
      <c r="O186" s="6"/>
      <c r="P186" s="794"/>
    </row>
    <row r="187" spans="1:16" x14ac:dyDescent="0.2">
      <c r="A187" s="1" t="s">
        <v>5112</v>
      </c>
      <c r="I187" s="675" t="s">
        <v>116</v>
      </c>
      <c r="K187" s="6"/>
      <c r="L187" s="41">
        <f>45000/2</f>
        <v>22500</v>
      </c>
      <c r="M187" s="6"/>
      <c r="N187" s="6"/>
      <c r="O187" s="6"/>
      <c r="P187" s="794"/>
    </row>
    <row r="188" spans="1:16" x14ac:dyDescent="0.2">
      <c r="A188" s="1" t="s">
        <v>5106</v>
      </c>
      <c r="I188" s="675" t="s">
        <v>5123</v>
      </c>
      <c r="K188" s="6"/>
      <c r="L188" s="41">
        <v>220000</v>
      </c>
      <c r="M188" s="6"/>
      <c r="N188" s="6"/>
      <c r="O188" s="6"/>
      <c r="P188" s="794"/>
    </row>
    <row r="189" spans="1:16" ht="17" thickBot="1" x14ac:dyDescent="0.25">
      <c r="A189" s="1" t="s">
        <v>5107</v>
      </c>
      <c r="I189" s="675" t="s">
        <v>385</v>
      </c>
      <c r="K189" s="6"/>
      <c r="L189" s="6"/>
      <c r="M189" s="6"/>
      <c r="N189" s="558">
        <f>O189</f>
        <v>20875</v>
      </c>
      <c r="O189" s="558">
        <f>52875-32000</f>
        <v>20875</v>
      </c>
      <c r="P189" s="794"/>
    </row>
    <row r="190" spans="1:16" ht="17" thickBot="1" x14ac:dyDescent="0.25">
      <c r="A190" s="1" t="s">
        <v>5108</v>
      </c>
      <c r="I190" s="795" t="s">
        <v>5126</v>
      </c>
      <c r="J190" s="2"/>
      <c r="K190" s="788">
        <f>SUM(K184:K189)-SUM(L186:L188)</f>
        <v>587500</v>
      </c>
      <c r="L190" s="305"/>
      <c r="M190" s="305"/>
      <c r="N190" s="112">
        <f>587500*80%*7%+587500*20%*17%</f>
        <v>52875</v>
      </c>
      <c r="O190" s="112">
        <f>O189</f>
        <v>20875</v>
      </c>
      <c r="P190" s="796"/>
    </row>
    <row r="191" spans="1:16" x14ac:dyDescent="0.2">
      <c r="A191" s="1" t="s">
        <v>5122</v>
      </c>
      <c r="I191" s="675" t="s">
        <v>5120</v>
      </c>
      <c r="K191" s="41">
        <v>900000</v>
      </c>
      <c r="L191" s="6"/>
      <c r="M191" s="6"/>
      <c r="N191" s="6"/>
      <c r="O191" s="6"/>
      <c r="P191" s="794"/>
    </row>
    <row r="192" spans="1:16" x14ac:dyDescent="0.2">
      <c r="A192" s="1" t="s">
        <v>5109</v>
      </c>
      <c r="I192" s="675" t="s">
        <v>3268</v>
      </c>
      <c r="K192" s="6"/>
      <c r="L192" s="41">
        <v>700000</v>
      </c>
      <c r="M192" s="6"/>
      <c r="N192" s="6"/>
      <c r="O192" s="6"/>
      <c r="P192" s="794"/>
    </row>
    <row r="193" spans="1:16" x14ac:dyDescent="0.2">
      <c r="A193" s="1" t="s">
        <v>5110</v>
      </c>
      <c r="I193" s="675" t="s">
        <v>428</v>
      </c>
      <c r="K193" s="6"/>
      <c r="L193" s="41">
        <v>21000</v>
      </c>
      <c r="M193" s="41">
        <f>L193</f>
        <v>21000</v>
      </c>
      <c r="N193" s="6"/>
      <c r="O193" s="6"/>
      <c r="P193" s="794"/>
    </row>
    <row r="194" spans="1:16" ht="17" thickBot="1" x14ac:dyDescent="0.25">
      <c r="A194" s="1" t="s">
        <v>5124</v>
      </c>
      <c r="I194" s="675" t="s">
        <v>385</v>
      </c>
      <c r="N194" s="558">
        <f>O194</f>
        <v>90765</v>
      </c>
      <c r="O194" s="558">
        <f>122640-52875+21000</f>
        <v>90765</v>
      </c>
      <c r="P194" s="797"/>
    </row>
    <row r="195" spans="1:16" ht="17" thickBot="1" x14ac:dyDescent="0.25">
      <c r="A195" s="1" t="s">
        <v>5111</v>
      </c>
      <c r="I195" s="795" t="s">
        <v>5129</v>
      </c>
      <c r="J195" s="2"/>
      <c r="K195" s="788">
        <f>SUM(K190:K191)-SUM(L192:L193)</f>
        <v>766500</v>
      </c>
      <c r="L195" s="305"/>
      <c r="M195" s="305"/>
      <c r="N195" s="112">
        <f>766500*16%</f>
        <v>122640</v>
      </c>
      <c r="O195" s="112">
        <f>O194</f>
        <v>90765</v>
      </c>
      <c r="P195" s="796"/>
    </row>
    <row r="196" spans="1:16" ht="17" thickBot="1" x14ac:dyDescent="0.25">
      <c r="I196" s="675"/>
      <c r="P196" s="797"/>
    </row>
    <row r="197" spans="1:16" x14ac:dyDescent="0.2">
      <c r="A197" s="1" t="s">
        <v>5127</v>
      </c>
      <c r="I197" s="675"/>
      <c r="K197" s="180" t="s">
        <v>943</v>
      </c>
      <c r="L197" s="411"/>
      <c r="M197" s="789">
        <v>45291</v>
      </c>
      <c r="N197" s="790">
        <v>45657</v>
      </c>
      <c r="P197" s="797"/>
    </row>
    <row r="198" spans="1:16" x14ac:dyDescent="0.2">
      <c r="A198" s="1" t="s">
        <v>5113</v>
      </c>
      <c r="I198" s="675"/>
      <c r="K198" s="106" t="s">
        <v>1885</v>
      </c>
      <c r="M198" s="44">
        <f>K190</f>
        <v>587500</v>
      </c>
      <c r="N198" s="605">
        <f>K195</f>
        <v>766500</v>
      </c>
      <c r="P198" s="797"/>
    </row>
    <row r="199" spans="1:16" x14ac:dyDescent="0.2">
      <c r="A199" s="1" t="s">
        <v>5114</v>
      </c>
      <c r="I199" s="675"/>
      <c r="K199" s="106" t="s">
        <v>370</v>
      </c>
      <c r="M199" s="44">
        <f>-N190</f>
        <v>-52875</v>
      </c>
      <c r="N199" s="605">
        <f>-N195</f>
        <v>-122640</v>
      </c>
      <c r="P199" s="797"/>
    </row>
    <row r="200" spans="1:16" x14ac:dyDescent="0.2">
      <c r="A200" s="1" t="s">
        <v>5115</v>
      </c>
      <c r="I200" s="675"/>
      <c r="K200" s="106" t="s">
        <v>5130</v>
      </c>
      <c r="M200" s="134">
        <f>M198+M199</f>
        <v>534625</v>
      </c>
      <c r="N200" s="791">
        <f>N198+N199</f>
        <v>643860</v>
      </c>
      <c r="P200" s="797"/>
    </row>
    <row r="201" spans="1:16" x14ac:dyDescent="0.2">
      <c r="A201" s="1" t="s">
        <v>5128</v>
      </c>
      <c r="I201" s="675"/>
      <c r="K201" s="106"/>
      <c r="M201" s="44"/>
      <c r="N201" s="605"/>
      <c r="P201" s="797"/>
    </row>
    <row r="202" spans="1:16" ht="17" thickBot="1" x14ac:dyDescent="0.25">
      <c r="A202" s="1" t="s">
        <v>5116</v>
      </c>
      <c r="I202" s="677"/>
      <c r="J202" s="678"/>
      <c r="K202" s="798" t="s">
        <v>385</v>
      </c>
      <c r="L202" s="678"/>
      <c r="M202" s="799">
        <f>O189</f>
        <v>20875</v>
      </c>
      <c r="N202" s="800">
        <f>O194</f>
        <v>90765</v>
      </c>
      <c r="O202" s="678"/>
      <c r="P202" s="801"/>
    </row>
    <row r="203" spans="1:16" ht="17" thickTop="1" x14ac:dyDescent="0.2"/>
    <row r="204" spans="1:16" x14ac:dyDescent="0.2">
      <c r="A204" s="1" t="s">
        <v>5117</v>
      </c>
    </row>
    <row r="205" spans="1:16" x14ac:dyDescent="0.2">
      <c r="A205" s="1" t="s">
        <v>5118</v>
      </c>
    </row>
    <row r="207" spans="1:16" ht="23" x14ac:dyDescent="0.25">
      <c r="A207" s="787" t="s">
        <v>5131</v>
      </c>
      <c r="B207" s="787"/>
      <c r="C207" s="787"/>
      <c r="D207" s="787"/>
      <c r="E207" s="787"/>
      <c r="F207" s="787"/>
      <c r="G207" s="787"/>
      <c r="H207" s="787"/>
      <c r="I207" s="787"/>
    </row>
    <row r="208" spans="1:16" x14ac:dyDescent="0.2">
      <c r="A208" s="1" t="s">
        <v>5132</v>
      </c>
    </row>
    <row r="209" spans="1:17" ht="17" thickBot="1" x14ac:dyDescent="0.25">
      <c r="A209" s="1" t="s">
        <v>5133</v>
      </c>
    </row>
    <row r="210" spans="1:17" x14ac:dyDescent="0.2">
      <c r="J210" s="436" t="s">
        <v>386</v>
      </c>
      <c r="K210" s="422"/>
      <c r="L210" s="422" t="s">
        <v>5146</v>
      </c>
      <c r="M210" s="422" t="s">
        <v>4420</v>
      </c>
      <c r="N210" s="422" t="s">
        <v>5150</v>
      </c>
      <c r="O210" s="422" t="s">
        <v>3517</v>
      </c>
      <c r="P210" s="422" t="s">
        <v>1164</v>
      </c>
      <c r="Q210" s="423" t="s">
        <v>272</v>
      </c>
    </row>
    <row r="211" spans="1:17" x14ac:dyDescent="0.2">
      <c r="D211" s="446">
        <v>44926</v>
      </c>
      <c r="J211" s="106" t="s">
        <v>5147</v>
      </c>
      <c r="L211" s="23">
        <f>D212</f>
        <v>100000</v>
      </c>
      <c r="M211" s="23">
        <f>D213</f>
        <v>80000</v>
      </c>
      <c r="N211" s="23"/>
      <c r="O211" s="23">
        <f>D214</f>
        <v>90000</v>
      </c>
      <c r="P211" s="23">
        <f>D215</f>
        <v>150000</v>
      </c>
      <c r="Q211" s="419">
        <f>D216</f>
        <v>420000</v>
      </c>
    </row>
    <row r="212" spans="1:17" x14ac:dyDescent="0.2">
      <c r="B212" s="1" t="s">
        <v>5134</v>
      </c>
      <c r="D212" s="24">
        <v>100000</v>
      </c>
      <c r="J212" s="106" t="s">
        <v>5148</v>
      </c>
      <c r="L212" s="23">
        <f>200000*1</f>
        <v>200000</v>
      </c>
      <c r="M212" s="23"/>
      <c r="N212" s="23"/>
      <c r="O212" s="23">
        <f>Q212-L212</f>
        <v>43000</v>
      </c>
      <c r="P212" s="23"/>
      <c r="Q212" s="419">
        <f>270000*(1-10%)</f>
        <v>243000</v>
      </c>
    </row>
    <row r="213" spans="1:17" x14ac:dyDescent="0.2">
      <c r="B213" s="1" t="s">
        <v>5135</v>
      </c>
      <c r="D213" s="24">
        <v>80000</v>
      </c>
      <c r="J213" s="106" t="s">
        <v>5149</v>
      </c>
      <c r="L213" s="23"/>
      <c r="M213" s="23"/>
      <c r="N213" s="23">
        <f>30000*3</f>
        <v>90000</v>
      </c>
      <c r="O213" s="23">
        <f>Q213-N213</f>
        <v>260000</v>
      </c>
      <c r="P213" s="23"/>
      <c r="Q213" s="419">
        <f>400000-50000</f>
        <v>350000</v>
      </c>
    </row>
    <row r="214" spans="1:17" x14ac:dyDescent="0.2">
      <c r="B214" s="1" t="s">
        <v>3517</v>
      </c>
      <c r="D214" s="24">
        <v>90000</v>
      </c>
      <c r="J214" s="106" t="s">
        <v>5151</v>
      </c>
      <c r="L214" s="23">
        <f>-M214</f>
        <v>80000</v>
      </c>
      <c r="M214" s="23">
        <f>-M211</f>
        <v>-80000</v>
      </c>
      <c r="N214" s="23"/>
      <c r="O214" s="23"/>
      <c r="P214" s="23"/>
      <c r="Q214" s="419">
        <v>0</v>
      </c>
    </row>
    <row r="215" spans="1:17" x14ac:dyDescent="0.2">
      <c r="B215" s="1" t="s">
        <v>1164</v>
      </c>
      <c r="D215" s="24">
        <v>150000</v>
      </c>
      <c r="J215" s="106" t="s">
        <v>5152</v>
      </c>
      <c r="L215" s="23">
        <f>5%*(100000+200000+80000)</f>
        <v>19000</v>
      </c>
      <c r="M215" s="23"/>
      <c r="N215" s="23">
        <f>5%*90000</f>
        <v>4500</v>
      </c>
      <c r="O215" s="23">
        <f>-L215-N215</f>
        <v>-23500</v>
      </c>
      <c r="P215" s="23"/>
      <c r="Q215" s="419">
        <v>0</v>
      </c>
    </row>
    <row r="216" spans="1:17" x14ac:dyDescent="0.2">
      <c r="B216" s="1" t="s">
        <v>272</v>
      </c>
      <c r="D216" s="24">
        <f>SUM(D212:D215)</f>
        <v>420000</v>
      </c>
      <c r="J216" s="106" t="s">
        <v>5153</v>
      </c>
      <c r="L216" s="23"/>
      <c r="M216" s="23"/>
      <c r="N216" s="23"/>
      <c r="O216" s="23"/>
      <c r="P216" s="23">
        <v>440000</v>
      </c>
      <c r="Q216" s="419">
        <f>P216</f>
        <v>440000</v>
      </c>
    </row>
    <row r="217" spans="1:17" ht="17" thickBot="1" x14ac:dyDescent="0.25">
      <c r="J217" s="106" t="s">
        <v>5154</v>
      </c>
      <c r="L217" s="23"/>
      <c r="M217" s="23"/>
      <c r="N217" s="23"/>
      <c r="O217" s="23"/>
      <c r="P217" s="23">
        <v>-300000</v>
      </c>
      <c r="Q217" s="419">
        <f>P217</f>
        <v>-300000</v>
      </c>
    </row>
    <row r="218" spans="1:17" ht="17" thickBot="1" x14ac:dyDescent="0.25">
      <c r="A218" s="1" t="s">
        <v>5136</v>
      </c>
      <c r="J218" s="153" t="s">
        <v>5155</v>
      </c>
      <c r="K218" s="154"/>
      <c r="L218" s="802">
        <f>SUM(L211:L217)</f>
        <v>399000</v>
      </c>
      <c r="M218" s="803">
        <f t="shared" ref="M218:N218" si="0">SUM(M211:M217)</f>
        <v>0</v>
      </c>
      <c r="N218" s="803">
        <f t="shared" si="0"/>
        <v>94500</v>
      </c>
      <c r="O218" s="803">
        <f>SUM(O211:O217)</f>
        <v>369500</v>
      </c>
      <c r="P218" s="803">
        <f>SUM(P211:P217)</f>
        <v>290000</v>
      </c>
      <c r="Q218" s="804">
        <f>SUM(Q211:Q217)</f>
        <v>1153000</v>
      </c>
    </row>
    <row r="219" spans="1:17" x14ac:dyDescent="0.2">
      <c r="A219" s="1" t="s">
        <v>5137</v>
      </c>
    </row>
    <row r="220" spans="1:17" x14ac:dyDescent="0.2">
      <c r="A220" s="1" t="s">
        <v>5138</v>
      </c>
    </row>
    <row r="221" spans="1:17" x14ac:dyDescent="0.2">
      <c r="A221" s="1" t="s">
        <v>5139</v>
      </c>
    </row>
    <row r="222" spans="1:17" x14ac:dyDescent="0.2">
      <c r="A222" s="1" t="s">
        <v>5140</v>
      </c>
    </row>
    <row r="223" spans="1:17" x14ac:dyDescent="0.2">
      <c r="A223" s="1" t="s">
        <v>5141</v>
      </c>
    </row>
    <row r="224" spans="1:17" x14ac:dyDescent="0.2">
      <c r="A224" s="1" t="s">
        <v>5142</v>
      </c>
    </row>
    <row r="225" spans="1:13" x14ac:dyDescent="0.2">
      <c r="A225" s="1" t="s">
        <v>5143</v>
      </c>
    </row>
    <row r="226" spans="1:13" x14ac:dyDescent="0.2">
      <c r="A226" s="1" t="s">
        <v>5144</v>
      </c>
    </row>
    <row r="228" spans="1:13" x14ac:dyDescent="0.2">
      <c r="A228" s="1" t="s">
        <v>5145</v>
      </c>
    </row>
    <row r="230" spans="1:13" ht="23" x14ac:dyDescent="0.25">
      <c r="A230" s="787" t="s">
        <v>5156</v>
      </c>
      <c r="B230" s="787"/>
      <c r="C230" s="787"/>
      <c r="D230" s="787"/>
      <c r="E230" s="787"/>
      <c r="F230" s="787"/>
      <c r="G230" s="787"/>
      <c r="H230" s="787"/>
      <c r="I230" s="787"/>
    </row>
    <row r="231" spans="1:13" x14ac:dyDescent="0.2">
      <c r="A231" s="1" t="s">
        <v>5159</v>
      </c>
    </row>
    <row r="233" spans="1:13" x14ac:dyDescent="0.2">
      <c r="B233" s="1" t="s">
        <v>4022</v>
      </c>
      <c r="D233" s="1" t="s">
        <v>4023</v>
      </c>
      <c r="E233" s="1" t="s">
        <v>2565</v>
      </c>
      <c r="F233" s="1" t="s">
        <v>650</v>
      </c>
      <c r="G233" s="1" t="s">
        <v>2007</v>
      </c>
      <c r="H233" s="1" t="s">
        <v>4025</v>
      </c>
      <c r="I233" s="1" t="s">
        <v>1009</v>
      </c>
      <c r="J233" s="1" t="s">
        <v>1078</v>
      </c>
    </row>
    <row r="234" spans="1:13" x14ac:dyDescent="0.2">
      <c r="B234" s="1" t="s">
        <v>5157</v>
      </c>
      <c r="D234" s="120">
        <v>44562</v>
      </c>
      <c r="E234" s="6" t="s">
        <v>26</v>
      </c>
      <c r="F234" s="6">
        <v>40000</v>
      </c>
      <c r="G234" s="6" t="s">
        <v>26</v>
      </c>
      <c r="H234" s="6">
        <v>10</v>
      </c>
      <c r="I234" s="6" t="s">
        <v>1010</v>
      </c>
      <c r="J234" s="6">
        <v>5000</v>
      </c>
    </row>
    <row r="235" spans="1:13" x14ac:dyDescent="0.2">
      <c r="B235" s="1" t="s">
        <v>5158</v>
      </c>
      <c r="D235" s="120">
        <v>44986</v>
      </c>
      <c r="E235" s="41">
        <v>700000</v>
      </c>
      <c r="F235" s="6" t="s">
        <v>26</v>
      </c>
      <c r="G235" s="6" t="s">
        <v>26</v>
      </c>
      <c r="H235" s="6">
        <v>8</v>
      </c>
      <c r="I235" s="6" t="s">
        <v>3093</v>
      </c>
      <c r="J235" s="6">
        <v>0</v>
      </c>
    </row>
    <row r="237" spans="1:13" x14ac:dyDescent="0.2">
      <c r="A237" s="1" t="s">
        <v>975</v>
      </c>
    </row>
    <row r="238" spans="1:13" x14ac:dyDescent="0.2">
      <c r="A238" s="1" t="s">
        <v>5160</v>
      </c>
      <c r="B238" s="1" t="s">
        <v>5161</v>
      </c>
      <c r="K238" s="25" t="s">
        <v>5236</v>
      </c>
      <c r="L238" s="25"/>
      <c r="M238" s="25"/>
    </row>
    <row r="239" spans="1:13" x14ac:dyDescent="0.2">
      <c r="B239" s="1" t="s">
        <v>5168</v>
      </c>
      <c r="K239" s="120">
        <v>44986</v>
      </c>
      <c r="L239" s="120">
        <v>45352</v>
      </c>
      <c r="M239" s="1">
        <v>8</v>
      </c>
    </row>
    <row r="240" spans="1:13" x14ac:dyDescent="0.2">
      <c r="B240" s="1" t="s">
        <v>5162</v>
      </c>
      <c r="K240" s="120">
        <v>45352</v>
      </c>
      <c r="L240" s="120">
        <v>45717</v>
      </c>
      <c r="M240" s="1">
        <v>7</v>
      </c>
    </row>
    <row r="241" spans="1:18" x14ac:dyDescent="0.2">
      <c r="B241" s="1" t="s">
        <v>5163</v>
      </c>
      <c r="K241" s="120">
        <v>45717</v>
      </c>
      <c r="L241" s="120">
        <v>46082</v>
      </c>
      <c r="M241" s="1">
        <v>6</v>
      </c>
    </row>
    <row r="242" spans="1:18" x14ac:dyDescent="0.2">
      <c r="A242" s="1" t="s">
        <v>5164</v>
      </c>
      <c r="B242" s="1" t="s">
        <v>5165</v>
      </c>
      <c r="K242" s="120">
        <v>46082</v>
      </c>
      <c r="L242" s="120">
        <v>46447</v>
      </c>
      <c r="M242" s="1">
        <v>5</v>
      </c>
    </row>
    <row r="243" spans="1:18" x14ac:dyDescent="0.2">
      <c r="B243" s="1" t="s">
        <v>5166</v>
      </c>
    </row>
    <row r="245" spans="1:18" x14ac:dyDescent="0.2">
      <c r="A245" s="1" t="s">
        <v>195</v>
      </c>
    </row>
    <row r="246" spans="1:18" x14ac:dyDescent="0.2">
      <c r="A246" s="1" t="s">
        <v>5167</v>
      </c>
    </row>
    <row r="247" spans="1:18" x14ac:dyDescent="0.2">
      <c r="A247" s="1" t="s">
        <v>5169</v>
      </c>
    </row>
    <row r="253" spans="1:18" ht="17" thickBot="1" x14ac:dyDescent="0.25"/>
    <row r="254" spans="1:18" ht="17" thickBot="1" x14ac:dyDescent="0.25">
      <c r="A254" s="922" t="s">
        <v>5170</v>
      </c>
      <c r="B254" s="923"/>
      <c r="C254" s="923"/>
      <c r="D254" s="923"/>
      <c r="E254" s="923"/>
      <c r="F254" s="923"/>
      <c r="G254" s="924"/>
      <c r="H254" s="925" t="s">
        <v>5171</v>
      </c>
      <c r="I254" s="926"/>
      <c r="J254" s="926"/>
      <c r="K254" s="926"/>
      <c r="L254" s="926"/>
      <c r="M254" s="926"/>
      <c r="N254" s="926"/>
      <c r="O254" s="926"/>
      <c r="P254" s="926"/>
      <c r="Q254" s="926"/>
      <c r="R254" s="927"/>
    </row>
    <row r="255" spans="1:18" x14ac:dyDescent="0.2">
      <c r="A255" s="106"/>
      <c r="G255" s="107"/>
      <c r="H255" s="106"/>
      <c r="R255" s="107"/>
    </row>
    <row r="256" spans="1:18" x14ac:dyDescent="0.2">
      <c r="A256" s="151" t="s">
        <v>5188</v>
      </c>
      <c r="G256" s="107"/>
      <c r="H256" s="106" t="s">
        <v>5232</v>
      </c>
      <c r="J256" s="1">
        <v>36</v>
      </c>
      <c r="L256" s="1" t="s">
        <v>3165</v>
      </c>
      <c r="R256" s="107"/>
    </row>
    <row r="257" spans="1:18" x14ac:dyDescent="0.2">
      <c r="A257" s="106" t="s">
        <v>5172</v>
      </c>
      <c r="G257" s="107"/>
      <c r="H257" s="106" t="s">
        <v>5233</v>
      </c>
      <c r="R257" s="107"/>
    </row>
    <row r="258" spans="1:18" x14ac:dyDescent="0.2">
      <c r="A258" s="106" t="s">
        <v>5173</v>
      </c>
      <c r="G258" s="107"/>
      <c r="H258" s="106" t="s">
        <v>5234</v>
      </c>
      <c r="L258" s="256">
        <f>700000*70%*(6*2/12+5*10/12)/36</f>
        <v>70324.074074074073</v>
      </c>
      <c r="O258" s="1" t="s">
        <v>5237</v>
      </c>
      <c r="R258" s="107"/>
    </row>
    <row r="259" spans="1:18" x14ac:dyDescent="0.2">
      <c r="A259" s="106" t="s">
        <v>5174</v>
      </c>
      <c r="G259" s="107"/>
      <c r="H259" s="106" t="s">
        <v>5235</v>
      </c>
      <c r="L259" s="256">
        <f>700000*30%*(6*2/12+5*7/12)/36</f>
        <v>22847.222222222223</v>
      </c>
      <c r="O259" s="1" t="s">
        <v>5238</v>
      </c>
      <c r="R259" s="107"/>
    </row>
    <row r="260" spans="1:18" ht="17" thickBot="1" x14ac:dyDescent="0.25">
      <c r="A260" s="106" t="s">
        <v>5175</v>
      </c>
      <c r="G260" s="107"/>
      <c r="H260" s="106" t="s">
        <v>5263</v>
      </c>
      <c r="L260" s="256">
        <f>73486*8*0.25/36</f>
        <v>4082.5555555555557</v>
      </c>
      <c r="O260" s="1" t="s">
        <v>5267</v>
      </c>
      <c r="R260" s="107"/>
    </row>
    <row r="261" spans="1:18" ht="17" thickBot="1" x14ac:dyDescent="0.25">
      <c r="A261" s="106" t="s">
        <v>5176</v>
      </c>
      <c r="G261" s="107"/>
      <c r="H261" s="151" t="s">
        <v>5272</v>
      </c>
      <c r="I261" s="2"/>
      <c r="J261" s="2"/>
      <c r="K261" s="2"/>
      <c r="L261" s="651">
        <f>SUM(L258:L260)</f>
        <v>97253.851851851854</v>
      </c>
      <c r="R261" s="107"/>
    </row>
    <row r="262" spans="1:18" x14ac:dyDescent="0.2">
      <c r="A262" s="151" t="s">
        <v>5185</v>
      </c>
      <c r="B262" s="2"/>
      <c r="C262" s="2"/>
      <c r="D262" s="2"/>
      <c r="E262" s="2"/>
      <c r="F262" s="2"/>
      <c r="G262" s="107"/>
      <c r="H262" s="106"/>
      <c r="N262" s="1" t="s">
        <v>5268</v>
      </c>
      <c r="P262" s="1" t="s">
        <v>5264</v>
      </c>
      <c r="R262" s="107"/>
    </row>
    <row r="263" spans="1:18" x14ac:dyDescent="0.2">
      <c r="A263" s="151"/>
      <c r="B263" s="2"/>
      <c r="C263" s="2"/>
      <c r="D263" s="2"/>
      <c r="E263" s="2"/>
      <c r="F263" s="2" t="s">
        <v>5177</v>
      </c>
      <c r="G263" s="107"/>
      <c r="H263" s="106" t="s">
        <v>1816</v>
      </c>
      <c r="N263" s="1" t="s">
        <v>5269</v>
      </c>
      <c r="P263" s="1" t="s">
        <v>5265</v>
      </c>
      <c r="R263" s="107"/>
    </row>
    <row r="264" spans="1:18" x14ac:dyDescent="0.2">
      <c r="A264" s="106" t="s">
        <v>5178</v>
      </c>
      <c r="B264" s="1" t="s">
        <v>5179</v>
      </c>
      <c r="G264" s="107"/>
      <c r="H264" s="106" t="s">
        <v>5239</v>
      </c>
      <c r="N264" s="1" t="s">
        <v>5270</v>
      </c>
      <c r="P264" s="1" t="s">
        <v>5266</v>
      </c>
      <c r="R264" s="107"/>
    </row>
    <row r="265" spans="1:18" x14ac:dyDescent="0.2">
      <c r="A265" s="106"/>
      <c r="B265" s="1" t="s">
        <v>5180</v>
      </c>
      <c r="G265" s="107"/>
      <c r="H265" s="106" t="s">
        <v>5240</v>
      </c>
      <c r="N265" s="1" t="s">
        <v>5271</v>
      </c>
      <c r="R265" s="107"/>
    </row>
    <row r="266" spans="1:18" x14ac:dyDescent="0.2">
      <c r="A266" s="106"/>
      <c r="B266" s="1" t="s">
        <v>5184</v>
      </c>
      <c r="G266" s="107"/>
      <c r="H266" s="106" t="s">
        <v>5241</v>
      </c>
      <c r="R266" s="107"/>
    </row>
    <row r="267" spans="1:18" x14ac:dyDescent="0.2">
      <c r="A267" s="106"/>
      <c r="B267" s="1" t="s">
        <v>5181</v>
      </c>
      <c r="G267" s="107"/>
      <c r="H267" s="106" t="s">
        <v>5242</v>
      </c>
      <c r="R267" s="107"/>
    </row>
    <row r="268" spans="1:18" x14ac:dyDescent="0.2">
      <c r="A268" s="106"/>
      <c r="B268" s="1" t="s">
        <v>5182</v>
      </c>
      <c r="G268" s="107"/>
      <c r="H268" s="106"/>
      <c r="K268" s="1" t="s">
        <v>5243</v>
      </c>
      <c r="R268" s="107"/>
    </row>
    <row r="269" spans="1:18" x14ac:dyDescent="0.2">
      <c r="A269" s="106"/>
      <c r="B269" s="1" t="s">
        <v>5183</v>
      </c>
      <c r="G269" s="107"/>
      <c r="H269" s="106"/>
      <c r="R269" s="107"/>
    </row>
    <row r="270" spans="1:18" x14ac:dyDescent="0.2">
      <c r="A270" s="106"/>
      <c r="G270" s="107"/>
      <c r="H270" s="106" t="s">
        <v>5244</v>
      </c>
      <c r="R270" s="107"/>
    </row>
    <row r="271" spans="1:18" x14ac:dyDescent="0.2">
      <c r="A271" s="151" t="s">
        <v>5186</v>
      </c>
      <c r="G271" s="107"/>
      <c r="H271" s="106" t="s">
        <v>5245</v>
      </c>
      <c r="R271" s="107"/>
    </row>
    <row r="272" spans="1:18" x14ac:dyDescent="0.2">
      <c r="A272" s="106"/>
      <c r="F272" s="1" t="s">
        <v>5187</v>
      </c>
      <c r="G272" s="107"/>
      <c r="H272" s="106" t="s">
        <v>5241</v>
      </c>
      <c r="R272" s="107"/>
    </row>
    <row r="273" spans="1:18" x14ac:dyDescent="0.2">
      <c r="A273" s="106"/>
      <c r="G273" s="107"/>
      <c r="H273" s="106" t="s">
        <v>5246</v>
      </c>
      <c r="R273" s="107"/>
    </row>
    <row r="274" spans="1:18" x14ac:dyDescent="0.2">
      <c r="A274" s="151" t="s">
        <v>5189</v>
      </c>
      <c r="G274" s="107"/>
      <c r="H274" s="106"/>
      <c r="K274" s="1" t="s">
        <v>5247</v>
      </c>
      <c r="R274" s="107"/>
    </row>
    <row r="275" spans="1:18" x14ac:dyDescent="0.2">
      <c r="A275" s="106" t="s">
        <v>5190</v>
      </c>
      <c r="F275" s="805">
        <f>(114090-5000)/10*9/12</f>
        <v>8181.75</v>
      </c>
      <c r="G275" s="107"/>
      <c r="H275" s="106"/>
      <c r="R275" s="107"/>
    </row>
    <row r="276" spans="1:18" ht="17" thickBot="1" x14ac:dyDescent="0.25">
      <c r="A276" s="106" t="s">
        <v>5191</v>
      </c>
      <c r="F276" s="47">
        <f>F303/5*3/12</f>
        <v>1845.4309999999998</v>
      </c>
      <c r="G276" s="107"/>
      <c r="H276" s="106" t="s">
        <v>5248</v>
      </c>
      <c r="R276" s="107"/>
    </row>
    <row r="277" spans="1:18" s="2" customFormat="1" ht="17" thickBot="1" x14ac:dyDescent="0.25">
      <c r="A277" s="151" t="s">
        <v>5216</v>
      </c>
      <c r="F277" s="651">
        <f>F275+F276</f>
        <v>10027.181</v>
      </c>
      <c r="G277" s="152"/>
      <c r="H277" s="106" t="s">
        <v>5249</v>
      </c>
      <c r="R277" s="152"/>
    </row>
    <row r="278" spans="1:18" s="2" customFormat="1" x14ac:dyDescent="0.2">
      <c r="A278" s="151"/>
      <c r="G278" s="152"/>
      <c r="H278" s="151"/>
      <c r="R278" s="152"/>
    </row>
    <row r="279" spans="1:18" x14ac:dyDescent="0.2">
      <c r="A279" s="106" t="s">
        <v>5192</v>
      </c>
      <c r="G279" s="107"/>
      <c r="H279" s="106" t="s">
        <v>5250</v>
      </c>
      <c r="K279" s="86">
        <v>46296</v>
      </c>
      <c r="R279" s="107"/>
    </row>
    <row r="280" spans="1:18" x14ac:dyDescent="0.2">
      <c r="A280" s="106"/>
      <c r="E280" s="1" t="s">
        <v>5215</v>
      </c>
      <c r="G280" s="107"/>
      <c r="H280" s="106"/>
      <c r="J280" s="1" t="s">
        <v>677</v>
      </c>
      <c r="K280" s="256">
        <f>700000*30%</f>
        <v>210000</v>
      </c>
      <c r="N280" s="1" t="s">
        <v>5251</v>
      </c>
      <c r="R280" s="107"/>
    </row>
    <row r="281" spans="1:18" x14ac:dyDescent="0.2">
      <c r="A281" s="106"/>
      <c r="G281" s="107"/>
      <c r="H281" s="106"/>
      <c r="J281" s="1" t="s">
        <v>650</v>
      </c>
      <c r="K281" s="256">
        <f>-K280*(8+7+6+5*7/12)/36</f>
        <v>-139513.88888888888</v>
      </c>
      <c r="N281" s="1" t="s">
        <v>5252</v>
      </c>
      <c r="R281" s="107"/>
    </row>
    <row r="282" spans="1:18" x14ac:dyDescent="0.2">
      <c r="A282" s="106" t="s">
        <v>5193</v>
      </c>
      <c r="G282" s="107"/>
      <c r="H282" s="106"/>
      <c r="J282" s="1" t="s">
        <v>2007</v>
      </c>
      <c r="K282" s="600">
        <f>K280+K281</f>
        <v>70486.111111111124</v>
      </c>
      <c r="R282" s="107"/>
    </row>
    <row r="283" spans="1:18" x14ac:dyDescent="0.2">
      <c r="A283" s="106" t="s">
        <v>5194</v>
      </c>
      <c r="G283" s="107"/>
      <c r="H283" s="106"/>
      <c r="R283" s="107"/>
    </row>
    <row r="284" spans="1:18" x14ac:dyDescent="0.2">
      <c r="A284" s="106" t="s">
        <v>5195</v>
      </c>
      <c r="G284" s="107"/>
      <c r="H284" s="106" t="s">
        <v>5253</v>
      </c>
      <c r="R284" s="107"/>
    </row>
    <row r="285" spans="1:18" x14ac:dyDescent="0.2">
      <c r="A285" s="106"/>
      <c r="G285" s="107"/>
      <c r="H285" s="106" t="s">
        <v>5254</v>
      </c>
      <c r="R285" s="107"/>
    </row>
    <row r="286" spans="1:18" x14ac:dyDescent="0.2">
      <c r="A286" s="106" t="s">
        <v>5196</v>
      </c>
      <c r="F286" s="86">
        <v>46295</v>
      </c>
      <c r="G286" s="107"/>
      <c r="H286" s="106" t="s">
        <v>5255</v>
      </c>
      <c r="R286" s="107"/>
    </row>
    <row r="287" spans="1:18" x14ac:dyDescent="0.2">
      <c r="A287" s="106"/>
      <c r="D287" s="1" t="s">
        <v>677</v>
      </c>
      <c r="F287" s="41">
        <v>114090</v>
      </c>
      <c r="G287" s="107"/>
      <c r="H287" s="106" t="s">
        <v>5256</v>
      </c>
      <c r="R287" s="107"/>
    </row>
    <row r="288" spans="1:18" x14ac:dyDescent="0.2">
      <c r="A288" s="106"/>
      <c r="D288" s="1" t="s">
        <v>650</v>
      </c>
      <c r="F288" s="44">
        <f>-(40000+F275)</f>
        <v>-48181.75</v>
      </c>
      <c r="G288" s="107"/>
      <c r="H288" s="106" t="s">
        <v>5257</v>
      </c>
      <c r="R288" s="107"/>
    </row>
    <row r="289" spans="1:18" x14ac:dyDescent="0.2">
      <c r="A289" s="106"/>
      <c r="D289" s="1" t="s">
        <v>2007</v>
      </c>
      <c r="F289" s="600">
        <f>F287+F288</f>
        <v>65908.25</v>
      </c>
      <c r="G289" s="107"/>
      <c r="H289" s="106"/>
      <c r="R289" s="107"/>
    </row>
    <row r="290" spans="1:18" x14ac:dyDescent="0.2">
      <c r="A290" s="106"/>
      <c r="F290" s="23"/>
      <c r="G290" s="107"/>
      <c r="H290" s="106" t="s">
        <v>5258</v>
      </c>
      <c r="R290" s="107"/>
    </row>
    <row r="291" spans="1:18" ht="17" thickBot="1" x14ac:dyDescent="0.25">
      <c r="A291" s="106" t="s">
        <v>5197</v>
      </c>
      <c r="G291" s="107"/>
      <c r="H291" s="106"/>
      <c r="R291" s="107"/>
    </row>
    <row r="292" spans="1:18" x14ac:dyDescent="0.2">
      <c r="A292" s="106"/>
      <c r="E292" s="1" t="s">
        <v>5198</v>
      </c>
      <c r="G292" s="107"/>
      <c r="H292" s="106"/>
      <c r="J292" s="1" t="s">
        <v>941</v>
      </c>
      <c r="L292" s="6" t="s">
        <v>4111</v>
      </c>
      <c r="N292" s="18" t="s">
        <v>5261</v>
      </c>
      <c r="O292" s="100"/>
      <c r="P292" s="19"/>
      <c r="R292" s="107"/>
    </row>
    <row r="293" spans="1:18" x14ac:dyDescent="0.2">
      <c r="A293" s="106" t="s">
        <v>5199</v>
      </c>
      <c r="G293" s="107"/>
      <c r="H293" s="106"/>
      <c r="J293" s="1" t="s">
        <v>5259</v>
      </c>
      <c r="L293" s="600">
        <f>-K282</f>
        <v>-70486.111111111124</v>
      </c>
      <c r="N293" s="106" t="s">
        <v>1399</v>
      </c>
      <c r="P293" s="107"/>
      <c r="R293" s="107"/>
    </row>
    <row r="294" spans="1:18" x14ac:dyDescent="0.2">
      <c r="A294" s="106" t="s">
        <v>5200</v>
      </c>
      <c r="G294" s="107"/>
      <c r="H294" s="106"/>
      <c r="J294" s="1" t="s">
        <v>5260</v>
      </c>
      <c r="L294" s="41">
        <v>3000</v>
      </c>
      <c r="N294" s="806">
        <f>L294-L293</f>
        <v>73486.111111111124</v>
      </c>
      <c r="P294" s="107"/>
      <c r="R294" s="107"/>
    </row>
    <row r="295" spans="1:18" ht="17" thickBot="1" x14ac:dyDescent="0.25">
      <c r="A295" s="106" t="s">
        <v>5201</v>
      </c>
      <c r="G295" s="107"/>
      <c r="H295" s="106"/>
      <c r="N295" s="20" t="s">
        <v>5262</v>
      </c>
      <c r="O295" s="103"/>
      <c r="P295" s="21"/>
      <c r="R295" s="107"/>
    </row>
    <row r="296" spans="1:18" x14ac:dyDescent="0.2">
      <c r="A296" s="106" t="s">
        <v>5202</v>
      </c>
      <c r="G296" s="107"/>
      <c r="H296" s="106"/>
      <c r="R296" s="107"/>
    </row>
    <row r="297" spans="1:18" x14ac:dyDescent="0.2">
      <c r="A297" s="106"/>
      <c r="G297" s="107"/>
      <c r="H297" s="151" t="s">
        <v>5273</v>
      </c>
      <c r="R297" s="107"/>
    </row>
    <row r="298" spans="1:18" x14ac:dyDescent="0.2">
      <c r="A298" s="106" t="s">
        <v>5203</v>
      </c>
      <c r="G298" s="107"/>
      <c r="H298" s="106" t="s">
        <v>5274</v>
      </c>
      <c r="R298" s="107"/>
    </row>
    <row r="299" spans="1:18" x14ac:dyDescent="0.2">
      <c r="A299" s="106"/>
      <c r="D299" s="1" t="s">
        <v>941</v>
      </c>
      <c r="F299" s="44">
        <f>80%*F289</f>
        <v>52726.600000000006</v>
      </c>
      <c r="G299" s="107" t="s">
        <v>5204</v>
      </c>
      <c r="H299" s="106" t="s">
        <v>5275</v>
      </c>
      <c r="R299" s="107"/>
    </row>
    <row r="300" spans="1:18" ht="17" thickBot="1" x14ac:dyDescent="0.25">
      <c r="A300" s="106"/>
      <c r="D300" s="1" t="s">
        <v>5205</v>
      </c>
      <c r="F300" s="44">
        <f>-F289</f>
        <v>-65908.25</v>
      </c>
      <c r="G300" s="107"/>
      <c r="H300" s="106"/>
      <c r="R300" s="107"/>
    </row>
    <row r="301" spans="1:18" ht="17" thickBot="1" x14ac:dyDescent="0.25">
      <c r="A301" s="106"/>
      <c r="D301" s="2" t="s">
        <v>726</v>
      </c>
      <c r="F301" s="649">
        <f>F299+F300</f>
        <v>-13181.649999999994</v>
      </c>
      <c r="G301" s="107"/>
      <c r="H301" s="106"/>
      <c r="K301" s="6" t="s">
        <v>5276</v>
      </c>
      <c r="L301" s="6" t="s">
        <v>5277</v>
      </c>
      <c r="R301" s="107"/>
    </row>
    <row r="302" spans="1:18" x14ac:dyDescent="0.2">
      <c r="A302" s="106"/>
      <c r="G302" s="107"/>
      <c r="H302" s="106"/>
      <c r="K302" s="86">
        <v>46387</v>
      </c>
      <c r="L302" s="86">
        <v>46387</v>
      </c>
      <c r="M302" s="36" t="s">
        <v>272</v>
      </c>
      <c r="R302" s="107"/>
    </row>
    <row r="303" spans="1:18" x14ac:dyDescent="0.2">
      <c r="A303" s="106" t="s">
        <v>5206</v>
      </c>
      <c r="F303" s="44">
        <f>F299*70%</f>
        <v>36908.620000000003</v>
      </c>
      <c r="G303" s="107" t="s">
        <v>5214</v>
      </c>
      <c r="H303" s="106"/>
      <c r="J303" s="1" t="s">
        <v>677</v>
      </c>
      <c r="K303" s="41">
        <f>70%*700000</f>
        <v>489999.99999999994</v>
      </c>
      <c r="L303" s="41">
        <f>N294</f>
        <v>73486.111111111124</v>
      </c>
      <c r="M303" s="41">
        <f>SUM(K303:L303)</f>
        <v>563486.11111111101</v>
      </c>
      <c r="R303" s="107"/>
    </row>
    <row r="304" spans="1:18" ht="17" thickBot="1" x14ac:dyDescent="0.25">
      <c r="A304" s="106" t="s">
        <v>5207</v>
      </c>
      <c r="G304" s="107"/>
      <c r="H304" s="106"/>
      <c r="J304" s="1" t="s">
        <v>650</v>
      </c>
      <c r="K304" s="44">
        <f>-700000*70%*(8+7+6+5*10/12)/36</f>
        <v>-342546.29629629629</v>
      </c>
      <c r="L304" s="44">
        <f>-L260</f>
        <v>-4082.5555555555557</v>
      </c>
      <c r="M304" s="44">
        <f t="shared" ref="M304:M305" si="1">SUM(K304:L304)</f>
        <v>-346628.85185185185</v>
      </c>
      <c r="R304" s="107"/>
    </row>
    <row r="305" spans="1:18" ht="17" thickBot="1" x14ac:dyDescent="0.25">
      <c r="A305" s="106"/>
      <c r="G305" s="107"/>
      <c r="H305" s="106"/>
      <c r="J305" s="1" t="s">
        <v>2007</v>
      </c>
      <c r="K305" s="44">
        <f>K303+K304</f>
        <v>147453.70370370365</v>
      </c>
      <c r="L305" s="41">
        <f>L303+L304</f>
        <v>69403.555555555562</v>
      </c>
      <c r="M305" s="88">
        <f t="shared" si="1"/>
        <v>216857.25925925921</v>
      </c>
      <c r="R305" s="107"/>
    </row>
    <row r="306" spans="1:18" x14ac:dyDescent="0.2">
      <c r="A306" s="106" t="s">
        <v>5208</v>
      </c>
      <c r="E306" s="47">
        <f>F276</f>
        <v>1845.4309999999998</v>
      </c>
      <c r="G306" s="107" t="s">
        <v>5209</v>
      </c>
      <c r="H306" s="106"/>
      <c r="R306" s="107"/>
    </row>
    <row r="307" spans="1:18" x14ac:dyDescent="0.2">
      <c r="A307" s="106" t="s">
        <v>5210</v>
      </c>
      <c r="G307" s="107"/>
      <c r="H307" s="106" t="s">
        <v>5278</v>
      </c>
      <c r="R307" s="107"/>
    </row>
    <row r="308" spans="1:18" x14ac:dyDescent="0.2">
      <c r="A308" s="106" t="s">
        <v>5211</v>
      </c>
      <c r="G308" s="107"/>
      <c r="H308" s="106" t="s">
        <v>5282</v>
      </c>
      <c r="R308" s="107"/>
    </row>
    <row r="309" spans="1:18" x14ac:dyDescent="0.2">
      <c r="A309" s="106" t="s">
        <v>5212</v>
      </c>
      <c r="G309" s="107"/>
      <c r="H309" s="106" t="s">
        <v>5283</v>
      </c>
      <c r="R309" s="107"/>
    </row>
    <row r="310" spans="1:18" x14ac:dyDescent="0.2">
      <c r="A310" s="106" t="s">
        <v>5213</v>
      </c>
      <c r="G310" s="107"/>
      <c r="H310" s="106" t="s">
        <v>5284</v>
      </c>
      <c r="R310" s="107"/>
    </row>
    <row r="311" spans="1:18" x14ac:dyDescent="0.2">
      <c r="A311" s="106"/>
      <c r="G311" s="107"/>
      <c r="H311" s="106"/>
      <c r="I311" s="1" t="s">
        <v>5279</v>
      </c>
      <c r="J311" s="23">
        <f>L260</f>
        <v>4082.5555555555557</v>
      </c>
      <c r="M311" s="1" t="s">
        <v>5286</v>
      </c>
      <c r="R311" s="107"/>
    </row>
    <row r="312" spans="1:18" x14ac:dyDescent="0.2">
      <c r="A312" s="151" t="s">
        <v>5217</v>
      </c>
      <c r="G312" s="107"/>
      <c r="H312" s="106"/>
      <c r="I312" s="1" t="s">
        <v>5285</v>
      </c>
      <c r="R312" s="107"/>
    </row>
    <row r="313" spans="1:18" x14ac:dyDescent="0.2">
      <c r="A313" s="106" t="s">
        <v>5218</v>
      </c>
      <c r="G313" s="107"/>
      <c r="H313" s="106"/>
      <c r="I313" s="1" t="s">
        <v>5280</v>
      </c>
      <c r="R313" s="107"/>
    </row>
    <row r="314" spans="1:18" x14ac:dyDescent="0.2">
      <c r="A314" s="106" t="s">
        <v>5219</v>
      </c>
      <c r="G314" s="107"/>
      <c r="H314" s="106"/>
      <c r="J314" s="44">
        <f>70%*700000*(8+7+6+5*10/12)/36</f>
        <v>342546.29629629629</v>
      </c>
      <c r="N314" s="1" t="s">
        <v>5281</v>
      </c>
      <c r="R314" s="107"/>
    </row>
    <row r="315" spans="1:18" x14ac:dyDescent="0.2">
      <c r="A315" s="106" t="s">
        <v>5220</v>
      </c>
      <c r="G315" s="107"/>
      <c r="H315" s="106"/>
      <c r="R315" s="107"/>
    </row>
    <row r="316" spans="1:18" x14ac:dyDescent="0.2">
      <c r="A316" s="106" t="s">
        <v>5221</v>
      </c>
      <c r="G316" s="107"/>
      <c r="H316" s="106"/>
      <c r="R316" s="107"/>
    </row>
    <row r="317" spans="1:18" x14ac:dyDescent="0.2">
      <c r="A317" s="106"/>
      <c r="G317" s="107"/>
      <c r="H317" s="106"/>
      <c r="R317" s="107"/>
    </row>
    <row r="318" spans="1:18" x14ac:dyDescent="0.2">
      <c r="A318" s="106"/>
      <c r="F318" s="86">
        <v>46387</v>
      </c>
      <c r="G318" s="107"/>
      <c r="H318" s="106"/>
      <c r="R318" s="107"/>
    </row>
    <row r="319" spans="1:18" x14ac:dyDescent="0.2">
      <c r="A319" s="106"/>
      <c r="D319" s="1" t="s">
        <v>5222</v>
      </c>
      <c r="F319" s="44">
        <f>F303</f>
        <v>36908.620000000003</v>
      </c>
      <c r="G319" s="107"/>
      <c r="H319" s="106"/>
      <c r="R319" s="107"/>
    </row>
    <row r="320" spans="1:18" ht="17" thickBot="1" x14ac:dyDescent="0.25">
      <c r="A320" s="106"/>
      <c r="D320" s="1" t="s">
        <v>5223</v>
      </c>
      <c r="F320" s="44">
        <f>-E306</f>
        <v>-1845.4309999999998</v>
      </c>
      <c r="G320" s="107"/>
      <c r="H320" s="106"/>
      <c r="R320" s="107"/>
    </row>
    <row r="321" spans="1:18" ht="17" thickBot="1" x14ac:dyDescent="0.25">
      <c r="A321" s="106"/>
      <c r="D321" s="1" t="s">
        <v>5224</v>
      </c>
      <c r="F321" s="649">
        <f>F319+F320</f>
        <v>35063.189000000006</v>
      </c>
      <c r="G321" s="107"/>
      <c r="H321" s="106"/>
      <c r="R321" s="107"/>
    </row>
    <row r="322" spans="1:18" x14ac:dyDescent="0.2">
      <c r="A322" s="106"/>
      <c r="G322" s="107"/>
      <c r="H322" s="106"/>
      <c r="R322" s="107"/>
    </row>
    <row r="323" spans="1:18" x14ac:dyDescent="0.2">
      <c r="A323" s="151" t="s">
        <v>5225</v>
      </c>
      <c r="G323" s="107"/>
      <c r="H323" s="106"/>
      <c r="R323" s="107"/>
    </row>
    <row r="324" spans="1:18" x14ac:dyDescent="0.2">
      <c r="A324" s="106" t="s">
        <v>5226</v>
      </c>
      <c r="G324" s="107"/>
      <c r="H324" s="106"/>
      <c r="R324" s="107"/>
    </row>
    <row r="325" spans="1:18" x14ac:dyDescent="0.2">
      <c r="A325" s="106" t="s">
        <v>5227</v>
      </c>
      <c r="G325" s="107"/>
      <c r="H325" s="106"/>
      <c r="R325" s="107"/>
    </row>
    <row r="326" spans="1:18" x14ac:dyDescent="0.2">
      <c r="A326" s="106" t="s">
        <v>5228</v>
      </c>
      <c r="G326" s="107"/>
      <c r="H326" s="106"/>
      <c r="R326" s="107"/>
    </row>
    <row r="327" spans="1:18" x14ac:dyDescent="0.2">
      <c r="A327" s="106" t="s">
        <v>5229</v>
      </c>
      <c r="G327" s="107"/>
      <c r="H327" s="106"/>
      <c r="R327" s="107"/>
    </row>
    <row r="328" spans="1:18" x14ac:dyDescent="0.2">
      <c r="A328" s="106" t="s">
        <v>5230</v>
      </c>
      <c r="G328" s="107"/>
      <c r="H328" s="106"/>
      <c r="R328" s="107"/>
    </row>
    <row r="329" spans="1:18" ht="17" thickBot="1" x14ac:dyDescent="0.25">
      <c r="A329" s="20" t="s">
        <v>5231</v>
      </c>
      <c r="B329" s="103"/>
      <c r="C329" s="103"/>
      <c r="D329" s="103"/>
      <c r="E329" s="103"/>
      <c r="F329" s="103"/>
      <c r="G329" s="21"/>
      <c r="H329" s="20"/>
      <c r="I329" s="103"/>
      <c r="J329" s="103"/>
      <c r="K329" s="103"/>
      <c r="L329" s="103"/>
      <c r="M329" s="103"/>
      <c r="N329" s="103"/>
      <c r="O329" s="103"/>
      <c r="P329" s="103"/>
      <c r="Q329" s="103"/>
      <c r="R329" s="21"/>
    </row>
  </sheetData>
  <mergeCells count="5">
    <mergeCell ref="K182:L182"/>
    <mergeCell ref="M182:N182"/>
    <mergeCell ref="O182:P182"/>
    <mergeCell ref="A254:G254"/>
    <mergeCell ref="H254:R254"/>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88B02-2059-4F4B-A80F-356EE6430D6C}">
  <dimension ref="A1:H242"/>
  <sheetViews>
    <sheetView rightToLeft="1" zoomScale="125" workbookViewId="0">
      <selection activeCell="X52" sqref="X52"/>
    </sheetView>
  </sheetViews>
  <sheetFormatPr baseColWidth="10" defaultRowHeight="16" x14ac:dyDescent="0.2"/>
  <cols>
    <col min="1" max="1" width="33.83203125" style="1" customWidth="1"/>
    <col min="2" max="2" width="10.83203125" style="1"/>
    <col min="3" max="3" width="12.1640625" style="1" customWidth="1"/>
    <col min="4" max="16384" width="10.83203125" style="1"/>
  </cols>
  <sheetData>
    <row r="1" spans="1:7" x14ac:dyDescent="0.2">
      <c r="A1" s="1" t="s">
        <v>2064</v>
      </c>
      <c r="G1" s="120">
        <v>44949</v>
      </c>
    </row>
    <row r="3" spans="1:7" s="25" customFormat="1" x14ac:dyDescent="0.2">
      <c r="A3" s="345" t="s">
        <v>9</v>
      </c>
      <c r="B3" s="346" t="s">
        <v>107</v>
      </c>
      <c r="C3" s="36" t="s">
        <v>6</v>
      </c>
      <c r="D3" s="36" t="s">
        <v>7</v>
      </c>
      <c r="E3" s="36" t="s">
        <v>1614</v>
      </c>
      <c r="F3" s="36" t="s">
        <v>4</v>
      </c>
      <c r="G3" s="36" t="s">
        <v>5</v>
      </c>
    </row>
    <row r="4" spans="1:7" x14ac:dyDescent="0.2">
      <c r="A4" s="319" t="s">
        <v>1238</v>
      </c>
      <c r="B4" s="347">
        <v>500</v>
      </c>
      <c r="C4" s="145">
        <v>564.125</v>
      </c>
      <c r="D4" s="6"/>
      <c r="E4" s="6"/>
      <c r="F4" s="6"/>
      <c r="G4" s="6"/>
    </row>
    <row r="5" spans="1:7" x14ac:dyDescent="0.2">
      <c r="A5" s="319" t="s">
        <v>1918</v>
      </c>
      <c r="B5" s="347">
        <v>40</v>
      </c>
      <c r="C5" s="6"/>
      <c r="D5" s="6"/>
      <c r="E5" s="6"/>
      <c r="F5" s="6"/>
      <c r="G5" s="145">
        <v>25</v>
      </c>
    </row>
    <row r="6" spans="1:7" x14ac:dyDescent="0.2">
      <c r="A6" s="319" t="s">
        <v>14</v>
      </c>
      <c r="B6" s="347">
        <v>600</v>
      </c>
      <c r="C6" s="6">
        <f>B6</f>
        <v>600</v>
      </c>
      <c r="D6" s="6"/>
      <c r="E6" s="6"/>
      <c r="F6" s="6"/>
      <c r="G6" s="6"/>
    </row>
    <row r="7" spans="1:7" x14ac:dyDescent="0.2">
      <c r="A7" s="319" t="s">
        <v>12</v>
      </c>
      <c r="B7" s="347">
        <v>150</v>
      </c>
      <c r="C7" s="6">
        <f>B7</f>
        <v>150</v>
      </c>
      <c r="D7" s="6"/>
      <c r="E7" s="6"/>
      <c r="F7" s="6"/>
      <c r="G7" s="6"/>
    </row>
    <row r="8" spans="1:7" x14ac:dyDescent="0.2">
      <c r="A8" s="319" t="s">
        <v>68</v>
      </c>
      <c r="B8" s="347">
        <v>950</v>
      </c>
      <c r="C8" s="6"/>
      <c r="D8" s="6"/>
      <c r="E8" s="6"/>
      <c r="F8" s="6">
        <f>B8</f>
        <v>950</v>
      </c>
      <c r="G8" s="6"/>
    </row>
    <row r="9" spans="1:7" ht="17" x14ac:dyDescent="0.2">
      <c r="A9" s="321" t="s">
        <v>2062</v>
      </c>
      <c r="B9" s="347">
        <v>100</v>
      </c>
      <c r="C9" s="6">
        <f>B9</f>
        <v>100</v>
      </c>
      <c r="D9" s="6"/>
      <c r="E9" s="6"/>
      <c r="F9" s="6"/>
      <c r="G9" s="6"/>
    </row>
    <row r="10" spans="1:7" x14ac:dyDescent="0.2">
      <c r="A10" s="319" t="s">
        <v>16</v>
      </c>
      <c r="B10" s="347">
        <v>70</v>
      </c>
      <c r="C10" s="6"/>
      <c r="D10" s="6">
        <f>B10</f>
        <v>70</v>
      </c>
      <c r="E10" s="6"/>
      <c r="F10" s="6"/>
      <c r="G10" s="6"/>
    </row>
    <row r="11" spans="1:7" ht="17" x14ac:dyDescent="0.2">
      <c r="A11" s="321" t="s">
        <v>2063</v>
      </c>
      <c r="B11" s="347">
        <v>15</v>
      </c>
      <c r="C11" s="6"/>
      <c r="D11" s="145">
        <v>0</v>
      </c>
      <c r="E11" s="6"/>
      <c r="F11" s="6"/>
      <c r="G11" s="6"/>
    </row>
    <row r="12" spans="1:7" ht="17" x14ac:dyDescent="0.2">
      <c r="A12" s="321" t="s">
        <v>22</v>
      </c>
      <c r="B12" s="347">
        <v>180</v>
      </c>
      <c r="C12" s="6"/>
      <c r="D12" s="6">
        <f>B12</f>
        <v>180</v>
      </c>
      <c r="E12" s="6"/>
      <c r="F12" s="6"/>
      <c r="G12" s="6"/>
    </row>
    <row r="13" spans="1:7" x14ac:dyDescent="0.2">
      <c r="A13" s="319" t="s">
        <v>24</v>
      </c>
      <c r="B13" s="347">
        <v>100</v>
      </c>
      <c r="C13" s="6"/>
      <c r="D13" s="6"/>
      <c r="E13" s="6">
        <f>B13</f>
        <v>100</v>
      </c>
      <c r="F13" s="6"/>
      <c r="G13" s="6"/>
    </row>
    <row r="14" spans="1:7" x14ac:dyDescent="0.2">
      <c r="A14" s="319" t="s">
        <v>259</v>
      </c>
      <c r="B14" s="347">
        <v>300</v>
      </c>
      <c r="C14" s="6"/>
      <c r="D14" s="6"/>
      <c r="E14" s="6"/>
      <c r="F14" s="6"/>
      <c r="G14" s="6">
        <f>B14</f>
        <v>300</v>
      </c>
    </row>
    <row r="15" spans="1:7" x14ac:dyDescent="0.2">
      <c r="A15" s="319" t="s">
        <v>1278</v>
      </c>
      <c r="B15" s="347">
        <v>60</v>
      </c>
      <c r="C15" s="6"/>
      <c r="D15" s="6"/>
      <c r="E15" s="6"/>
      <c r="F15" s="6"/>
      <c r="G15" s="6">
        <f>B15</f>
        <v>60</v>
      </c>
    </row>
    <row r="16" spans="1:7" x14ac:dyDescent="0.2">
      <c r="A16" s="319" t="s">
        <v>1297</v>
      </c>
      <c r="B16" s="347" t="s">
        <v>26</v>
      </c>
      <c r="C16" s="6"/>
      <c r="D16" s="6"/>
      <c r="E16" s="176">
        <v>1146.5</v>
      </c>
      <c r="F16" s="6"/>
      <c r="G16" s="6"/>
    </row>
    <row r="17" spans="1:7" ht="17" x14ac:dyDescent="0.2">
      <c r="A17" s="370" t="s">
        <v>1241</v>
      </c>
      <c r="B17" s="347">
        <v>400</v>
      </c>
      <c r="C17" s="145">
        <v>300</v>
      </c>
      <c r="D17" s="6"/>
      <c r="E17" s="6"/>
      <c r="F17" s="6"/>
      <c r="G17" s="6"/>
    </row>
    <row r="18" spans="1:7" ht="17" x14ac:dyDescent="0.2">
      <c r="A18" s="370" t="s">
        <v>2022</v>
      </c>
      <c r="B18" s="347" t="s">
        <v>26</v>
      </c>
      <c r="C18" s="169">
        <v>-56.25</v>
      </c>
      <c r="D18" s="6"/>
      <c r="E18" s="6"/>
      <c r="F18" s="6"/>
      <c r="G18" s="6"/>
    </row>
    <row r="19" spans="1:7" ht="17" x14ac:dyDescent="0.2">
      <c r="A19" s="321" t="s">
        <v>109</v>
      </c>
      <c r="B19" s="347">
        <v>15</v>
      </c>
      <c r="C19" s="6"/>
      <c r="D19" s="6"/>
      <c r="E19" s="6"/>
      <c r="F19" s="6">
        <f>B19</f>
        <v>15</v>
      </c>
      <c r="G19" s="6"/>
    </row>
    <row r="20" spans="1:7" ht="17" x14ac:dyDescent="0.2">
      <c r="A20" s="321" t="s">
        <v>1246</v>
      </c>
      <c r="B20" s="347">
        <v>80</v>
      </c>
      <c r="C20" s="6">
        <f>B20</f>
        <v>80</v>
      </c>
      <c r="D20" s="6"/>
      <c r="E20" s="6"/>
      <c r="F20" s="6"/>
      <c r="G20" s="6"/>
    </row>
    <row r="21" spans="1:7" ht="17" x14ac:dyDescent="0.2">
      <c r="A21" s="321" t="s">
        <v>1920</v>
      </c>
      <c r="B21" s="347">
        <v>95</v>
      </c>
      <c r="C21" s="6">
        <f>B21</f>
        <v>95</v>
      </c>
      <c r="D21" s="6"/>
      <c r="E21" s="6"/>
      <c r="F21" s="6"/>
      <c r="G21" s="6"/>
    </row>
    <row r="22" spans="1:7" x14ac:dyDescent="0.2">
      <c r="A22" s="319" t="s">
        <v>23</v>
      </c>
      <c r="B22" s="347">
        <v>100</v>
      </c>
      <c r="C22" s="6"/>
      <c r="D22" s="6">
        <f>B22</f>
        <v>100</v>
      </c>
      <c r="E22" s="6"/>
      <c r="F22" s="6"/>
      <c r="G22" s="6"/>
    </row>
    <row r="23" spans="1:7" ht="17" x14ac:dyDescent="0.2">
      <c r="A23" s="370" t="s">
        <v>258</v>
      </c>
      <c r="B23" s="380">
        <v>75</v>
      </c>
      <c r="C23" s="145"/>
      <c r="D23" s="145"/>
      <c r="E23" s="145"/>
      <c r="F23" s="145"/>
      <c r="G23" s="145">
        <f>B23+8</f>
        <v>83</v>
      </c>
    </row>
    <row r="24" spans="1:7" ht="17" x14ac:dyDescent="0.2">
      <c r="A24" s="321" t="s">
        <v>1250</v>
      </c>
      <c r="B24" s="347">
        <v>20</v>
      </c>
      <c r="C24" s="6"/>
      <c r="D24" s="6"/>
      <c r="E24" s="6"/>
      <c r="F24" s="6">
        <f>B24</f>
        <v>20</v>
      </c>
      <c r="G24" s="6"/>
    </row>
    <row r="25" spans="1:7" ht="17" x14ac:dyDescent="0.2">
      <c r="A25" s="321" t="s">
        <v>1921</v>
      </c>
      <c r="B25" s="347">
        <v>45</v>
      </c>
      <c r="C25" s="6"/>
      <c r="D25" s="6"/>
      <c r="E25" s="6"/>
      <c r="F25" s="6"/>
      <c r="G25" s="6">
        <f>B25</f>
        <v>45</v>
      </c>
    </row>
    <row r="26" spans="1:7" ht="17" x14ac:dyDescent="0.2">
      <c r="A26" s="321" t="s">
        <v>1252</v>
      </c>
      <c r="B26" s="347">
        <v>62</v>
      </c>
      <c r="C26" s="6"/>
      <c r="D26" s="6"/>
      <c r="E26" s="6"/>
      <c r="F26" s="6"/>
      <c r="G26" s="6">
        <f>B26</f>
        <v>62</v>
      </c>
    </row>
    <row r="27" spans="1:7" ht="17" x14ac:dyDescent="0.2">
      <c r="A27" s="321" t="s">
        <v>1253</v>
      </c>
      <c r="B27" s="347">
        <v>93</v>
      </c>
      <c r="C27" s="6"/>
      <c r="D27" s="6"/>
      <c r="E27" s="6"/>
      <c r="F27" s="6"/>
      <c r="G27" s="6">
        <f>B27</f>
        <v>93</v>
      </c>
    </row>
    <row r="28" spans="1:7" ht="17" x14ac:dyDescent="0.2">
      <c r="A28" s="321" t="s">
        <v>260</v>
      </c>
      <c r="B28" s="347">
        <v>14</v>
      </c>
      <c r="C28" s="6"/>
      <c r="D28" s="6"/>
      <c r="E28" s="6"/>
      <c r="F28" s="6"/>
      <c r="G28" s="6">
        <f>B28</f>
        <v>14</v>
      </c>
    </row>
    <row r="29" spans="1:7" ht="17" x14ac:dyDescent="0.2">
      <c r="A29" s="321" t="s">
        <v>1922</v>
      </c>
      <c r="B29" s="347">
        <v>20</v>
      </c>
      <c r="C29" s="6"/>
      <c r="D29" s="6"/>
      <c r="E29" s="6"/>
      <c r="F29" s="6"/>
      <c r="G29" s="6">
        <f>B29</f>
        <v>20</v>
      </c>
    </row>
    <row r="30" spans="1:7" ht="17" x14ac:dyDescent="0.2">
      <c r="A30" s="321" t="s">
        <v>1255</v>
      </c>
      <c r="B30" s="347" t="s">
        <v>26</v>
      </c>
      <c r="C30" s="157">
        <f>D80</f>
        <v>120</v>
      </c>
      <c r="D30" s="6"/>
      <c r="E30" s="6"/>
      <c r="F30" s="6"/>
      <c r="G30" s="6"/>
    </row>
    <row r="31" spans="1:7" ht="17" x14ac:dyDescent="0.2">
      <c r="A31" s="321" t="s">
        <v>1256</v>
      </c>
      <c r="B31" s="347" t="s">
        <v>26</v>
      </c>
      <c r="C31" s="6"/>
      <c r="D31" s="6"/>
      <c r="E31" s="6"/>
      <c r="F31" s="6"/>
      <c r="G31" s="157">
        <f>-C30</f>
        <v>-120</v>
      </c>
    </row>
    <row r="32" spans="1:7" ht="17" x14ac:dyDescent="0.2">
      <c r="A32" s="321" t="s">
        <v>272</v>
      </c>
      <c r="B32" s="347"/>
      <c r="C32" s="328">
        <f>SUM(C4:C31)</f>
        <v>1952.875</v>
      </c>
      <c r="D32" s="328">
        <f>SUM(D4:D31)</f>
        <v>350</v>
      </c>
      <c r="E32" s="328">
        <f>SUM(E4:E31)</f>
        <v>1246.5</v>
      </c>
      <c r="F32" s="328">
        <f t="shared" ref="F32:G32" si="0">SUM(F4:F31)</f>
        <v>985</v>
      </c>
      <c r="G32" s="328">
        <f t="shared" si="0"/>
        <v>582</v>
      </c>
    </row>
    <row r="33" spans="1:8" x14ac:dyDescent="0.2">
      <c r="A33" s="321"/>
      <c r="B33" s="347"/>
      <c r="C33" s="36" t="s">
        <v>6</v>
      </c>
      <c r="D33" s="36" t="s">
        <v>7</v>
      </c>
      <c r="E33" s="36" t="s">
        <v>1614</v>
      </c>
      <c r="F33" s="36" t="s">
        <v>4</v>
      </c>
      <c r="G33" s="36" t="s">
        <v>5</v>
      </c>
    </row>
    <row r="34" spans="1:8" ht="17" x14ac:dyDescent="0.2">
      <c r="A34" s="370" t="s">
        <v>2168</v>
      </c>
      <c r="B34" s="347"/>
      <c r="C34" s="6"/>
      <c r="D34" s="6"/>
      <c r="E34" s="6"/>
      <c r="F34" s="6"/>
      <c r="G34" s="379">
        <f>40.625-C36</f>
        <v>50.833333333333336</v>
      </c>
    </row>
    <row r="35" spans="1:8" ht="17" x14ac:dyDescent="0.2">
      <c r="A35" s="370" t="s">
        <v>2169</v>
      </c>
      <c r="B35" s="371"/>
      <c r="C35" s="46"/>
      <c r="D35" s="46"/>
      <c r="E35" s="46"/>
      <c r="F35" s="46"/>
      <c r="G35" s="145">
        <v>14</v>
      </c>
      <c r="H35" s="372"/>
    </row>
    <row r="36" spans="1:8" ht="17" x14ac:dyDescent="0.2">
      <c r="A36" s="370" t="s">
        <v>1991</v>
      </c>
      <c r="B36" s="347"/>
      <c r="C36" s="379">
        <f>-B189</f>
        <v>-10.208333333333334</v>
      </c>
      <c r="D36" s="6"/>
      <c r="E36" s="6"/>
      <c r="F36" s="6"/>
      <c r="G36" s="6"/>
      <c r="H36" s="372"/>
    </row>
    <row r="37" spans="1:8" ht="17" x14ac:dyDescent="0.2">
      <c r="A37" s="370" t="s">
        <v>2183</v>
      </c>
      <c r="B37" s="380"/>
      <c r="C37" s="145"/>
      <c r="D37" s="145">
        <v>8</v>
      </c>
      <c r="E37" s="6"/>
      <c r="F37" s="231"/>
      <c r="G37" s="6"/>
    </row>
    <row r="38" spans="1:8" x14ac:dyDescent="0.2">
      <c r="A38" s="321"/>
      <c r="B38" s="347"/>
      <c r="C38" s="6"/>
      <c r="D38" s="6"/>
      <c r="E38" s="6"/>
      <c r="F38" s="231"/>
      <c r="G38" s="6"/>
    </row>
    <row r="39" spans="1:8" x14ac:dyDescent="0.2">
      <c r="A39" s="321"/>
      <c r="B39" s="347"/>
      <c r="C39" s="6"/>
      <c r="D39" s="6"/>
      <c r="E39" s="6"/>
      <c r="F39" s="6"/>
      <c r="G39" s="6"/>
    </row>
    <row r="40" spans="1:8" ht="27" customHeight="1" x14ac:dyDescent="0.2">
      <c r="A40" s="928" t="s">
        <v>2184</v>
      </c>
      <c r="B40" s="928"/>
      <c r="C40" s="928"/>
      <c r="D40" s="6"/>
      <c r="E40" s="6"/>
      <c r="F40" s="6"/>
      <c r="G40" s="6"/>
    </row>
    <row r="41" spans="1:8" x14ac:dyDescent="0.2">
      <c r="A41" s="321"/>
      <c r="B41" s="347"/>
      <c r="C41" s="87" t="s">
        <v>2098</v>
      </c>
      <c r="D41" s="6"/>
      <c r="E41" s="6"/>
      <c r="F41" s="6"/>
      <c r="G41" s="6"/>
    </row>
    <row r="42" spans="1:8" x14ac:dyDescent="0.2">
      <c r="A42" s="321"/>
      <c r="B42" s="347"/>
      <c r="C42" s="848" t="s">
        <v>2099</v>
      </c>
      <c r="D42" s="848"/>
      <c r="E42" s="848"/>
      <c r="F42" s="848"/>
      <c r="G42" s="6"/>
    </row>
    <row r="43" spans="1:8" x14ac:dyDescent="0.2">
      <c r="A43" s="321"/>
      <c r="B43" s="347"/>
      <c r="C43" s="176" t="s">
        <v>2101</v>
      </c>
      <c r="D43" s="176">
        <v>1146.5</v>
      </c>
      <c r="E43" s="176" t="s">
        <v>2100</v>
      </c>
      <c r="F43" s="6"/>
      <c r="G43" s="6"/>
    </row>
    <row r="44" spans="1:8" x14ac:dyDescent="0.2">
      <c r="A44" s="321"/>
      <c r="B44" s="347"/>
      <c r="C44" s="6"/>
      <c r="D44" s="6"/>
      <c r="E44" s="6"/>
      <c r="F44" s="6"/>
      <c r="G44" s="6"/>
    </row>
    <row r="45" spans="1:8" ht="17" thickBot="1" x14ac:dyDescent="0.25"/>
    <row r="46" spans="1:8" x14ac:dyDescent="0.2">
      <c r="A46" s="348" t="s">
        <v>2065</v>
      </c>
      <c r="B46" s="349"/>
      <c r="C46" s="349"/>
      <c r="D46" s="349"/>
      <c r="E46" s="349"/>
      <c r="F46" s="349"/>
      <c r="G46" s="350"/>
    </row>
    <row r="47" spans="1:8" x14ac:dyDescent="0.2">
      <c r="A47" s="351" t="s">
        <v>2066</v>
      </c>
      <c r="B47" s="85"/>
      <c r="C47" s="85"/>
      <c r="D47" s="85"/>
      <c r="E47" s="85"/>
      <c r="F47" s="85"/>
      <c r="G47" s="352"/>
    </row>
    <row r="48" spans="1:8" ht="17" thickBot="1" x14ac:dyDescent="0.25">
      <c r="A48" s="353" t="s">
        <v>2067</v>
      </c>
      <c r="B48" s="354"/>
      <c r="C48" s="354"/>
      <c r="D48" s="354"/>
      <c r="E48" s="354"/>
      <c r="F48" s="354"/>
      <c r="G48" s="355"/>
    </row>
    <row r="50" spans="1:6" x14ac:dyDescent="0.2">
      <c r="A50" s="110" t="s">
        <v>2068</v>
      </c>
    </row>
    <row r="51" spans="1:6" x14ac:dyDescent="0.2">
      <c r="A51" s="1" t="s">
        <v>2069</v>
      </c>
    </row>
    <row r="52" spans="1:6" x14ac:dyDescent="0.2">
      <c r="A52" s="1" t="s">
        <v>2070</v>
      </c>
    </row>
    <row r="53" spans="1:6" x14ac:dyDescent="0.2">
      <c r="A53" s="1" t="s">
        <v>2071</v>
      </c>
    </row>
    <row r="54" spans="1:6" x14ac:dyDescent="0.2">
      <c r="A54" s="1" t="s">
        <v>2072</v>
      </c>
    </row>
    <row r="55" spans="1:6" x14ac:dyDescent="0.2">
      <c r="A55" s="1" t="s">
        <v>2073</v>
      </c>
    </row>
    <row r="57" spans="1:6" x14ac:dyDescent="0.2">
      <c r="A57" s="1" t="s">
        <v>2074</v>
      </c>
    </row>
    <row r="58" spans="1:6" x14ac:dyDescent="0.2">
      <c r="A58" s="1" t="s">
        <v>2081</v>
      </c>
    </row>
    <row r="59" spans="1:6" x14ac:dyDescent="0.2">
      <c r="A59" s="1" t="s">
        <v>2075</v>
      </c>
    </row>
    <row r="60" spans="1:6" x14ac:dyDescent="0.2">
      <c r="A60" s="1" t="s">
        <v>2076</v>
      </c>
    </row>
    <row r="61" spans="1:6" x14ac:dyDescent="0.2">
      <c r="A61" s="1" t="s">
        <v>2077</v>
      </c>
    </row>
    <row r="62" spans="1:6" x14ac:dyDescent="0.2">
      <c r="A62" s="1" t="s">
        <v>2078</v>
      </c>
    </row>
    <row r="63" spans="1:6" x14ac:dyDescent="0.2">
      <c r="D63" s="1">
        <v>300</v>
      </c>
      <c r="F63" s="1" t="s">
        <v>2079</v>
      </c>
    </row>
    <row r="65" spans="1:6" x14ac:dyDescent="0.2">
      <c r="A65" s="1" t="s">
        <v>2080</v>
      </c>
      <c r="D65" s="3">
        <f>300/8</f>
        <v>37.5</v>
      </c>
      <c r="F65" s="1" t="s">
        <v>2082</v>
      </c>
    </row>
    <row r="67" spans="1:6" x14ac:dyDescent="0.2">
      <c r="A67" s="1" t="s">
        <v>2083</v>
      </c>
    </row>
    <row r="68" spans="1:6" x14ac:dyDescent="0.2">
      <c r="A68" s="1" t="s">
        <v>2084</v>
      </c>
    </row>
    <row r="70" spans="1:6" x14ac:dyDescent="0.2">
      <c r="A70" s="110" t="s">
        <v>2085</v>
      </c>
    </row>
    <row r="71" spans="1:6" x14ac:dyDescent="0.2">
      <c r="A71" s="1" t="s">
        <v>2086</v>
      </c>
    </row>
    <row r="72" spans="1:6" x14ac:dyDescent="0.2">
      <c r="A72" s="1" t="s">
        <v>2087</v>
      </c>
      <c r="B72" s="1" t="s">
        <v>2088</v>
      </c>
    </row>
    <row r="73" spans="1:6" x14ac:dyDescent="0.2">
      <c r="B73" s="1" t="s">
        <v>2089</v>
      </c>
    </row>
    <row r="74" spans="1:6" x14ac:dyDescent="0.2">
      <c r="C74" s="1" t="s">
        <v>2090</v>
      </c>
      <c r="D74" s="1">
        <v>6</v>
      </c>
    </row>
    <row r="75" spans="1:6" x14ac:dyDescent="0.2">
      <c r="C75" s="1" t="s">
        <v>2091</v>
      </c>
      <c r="D75" s="1">
        <v>0</v>
      </c>
    </row>
    <row r="76" spans="1:6" x14ac:dyDescent="0.2">
      <c r="C76" s="1" t="s">
        <v>2092</v>
      </c>
      <c r="D76" s="1">
        <f>D74-D75</f>
        <v>6</v>
      </c>
      <c r="E76" s="1" t="s">
        <v>2093</v>
      </c>
    </row>
    <row r="78" spans="1:6" x14ac:dyDescent="0.2">
      <c r="B78" s="1" t="s">
        <v>2094</v>
      </c>
    </row>
    <row r="79" spans="1:6" x14ac:dyDescent="0.2">
      <c r="B79" s="1" t="s">
        <v>2095</v>
      </c>
      <c r="E79" s="1" t="s">
        <v>2096</v>
      </c>
    </row>
    <row r="80" spans="1:6" x14ac:dyDescent="0.2">
      <c r="B80" s="1" t="s">
        <v>2097</v>
      </c>
      <c r="D80" s="3">
        <v>120</v>
      </c>
    </row>
    <row r="81" spans="1:7" ht="17" thickBot="1" x14ac:dyDescent="0.25"/>
    <row r="82" spans="1:7" x14ac:dyDescent="0.2">
      <c r="A82" s="348" t="s">
        <v>2102</v>
      </c>
      <c r="B82" s="349"/>
      <c r="C82" s="349"/>
      <c r="D82" s="349"/>
      <c r="E82" s="349"/>
      <c r="F82" s="349"/>
      <c r="G82" s="350"/>
    </row>
    <row r="83" spans="1:7" ht="17" thickBot="1" x14ac:dyDescent="0.25">
      <c r="A83" s="353" t="s">
        <v>2103</v>
      </c>
      <c r="B83" s="354"/>
      <c r="C83" s="354"/>
      <c r="D83" s="354"/>
      <c r="E83" s="354"/>
      <c r="F83" s="354"/>
      <c r="G83" s="355"/>
    </row>
    <row r="92" spans="1:7" x14ac:dyDescent="0.2">
      <c r="B92" s="25" t="s">
        <v>2104</v>
      </c>
      <c r="C92" s="25"/>
      <c r="D92" s="25"/>
      <c r="E92" s="25" t="s">
        <v>452</v>
      </c>
      <c r="F92" s="25" t="s">
        <v>5</v>
      </c>
    </row>
    <row r="93" spans="1:7" x14ac:dyDescent="0.2">
      <c r="B93" s="1" t="s">
        <v>1918</v>
      </c>
      <c r="F93" s="1">
        <v>40</v>
      </c>
    </row>
    <row r="94" spans="1:7" x14ac:dyDescent="0.2">
      <c r="B94" s="1" t="s">
        <v>2105</v>
      </c>
      <c r="E94" s="1">
        <v>15</v>
      </c>
    </row>
    <row r="96" spans="1:7" x14ac:dyDescent="0.2">
      <c r="B96" s="1" t="s">
        <v>2106</v>
      </c>
    </row>
    <row r="97" spans="2:7" x14ac:dyDescent="0.2">
      <c r="B97" s="1" t="s">
        <v>2107</v>
      </c>
    </row>
    <row r="98" spans="2:7" x14ac:dyDescent="0.2">
      <c r="C98" s="25" t="s">
        <v>1969</v>
      </c>
      <c r="D98" s="25" t="s">
        <v>1728</v>
      </c>
      <c r="E98" s="25" t="s">
        <v>2110</v>
      </c>
      <c r="F98" s="25"/>
      <c r="G98" s="25" t="s">
        <v>2111</v>
      </c>
    </row>
    <row r="99" spans="2:7" x14ac:dyDescent="0.2">
      <c r="B99" s="1">
        <v>2020</v>
      </c>
      <c r="C99" s="1">
        <v>0</v>
      </c>
      <c r="D99" s="1">
        <v>15</v>
      </c>
      <c r="E99" s="1" t="s">
        <v>2109</v>
      </c>
      <c r="G99" s="1" t="s">
        <v>2112</v>
      </c>
    </row>
    <row r="100" spans="2:7" ht="17" thickBot="1" x14ac:dyDescent="0.25">
      <c r="E100" s="1" t="s">
        <v>2108</v>
      </c>
    </row>
    <row r="101" spans="2:7" x14ac:dyDescent="0.2">
      <c r="B101" s="1">
        <v>2021</v>
      </c>
      <c r="C101" s="1" t="s">
        <v>2113</v>
      </c>
      <c r="D101" s="1">
        <v>25</v>
      </c>
      <c r="E101" s="356" t="s">
        <v>2116</v>
      </c>
      <c r="F101" s="357"/>
      <c r="G101" s="1">
        <v>0</v>
      </c>
    </row>
    <row r="102" spans="2:7" ht="17" thickBot="1" x14ac:dyDescent="0.25">
      <c r="C102" s="1" t="s">
        <v>2114</v>
      </c>
      <c r="E102" s="358" t="s">
        <v>2115</v>
      </c>
      <c r="F102" s="359"/>
    </row>
    <row r="103" spans="2:7" x14ac:dyDescent="0.2">
      <c r="E103" s="110" t="s">
        <v>2117</v>
      </c>
    </row>
    <row r="104" spans="2:7" ht="17" thickBot="1" x14ac:dyDescent="0.25"/>
    <row r="105" spans="2:7" x14ac:dyDescent="0.2">
      <c r="B105" s="18" t="s">
        <v>2118</v>
      </c>
      <c r="C105" s="100"/>
      <c r="D105" s="100"/>
      <c r="E105" s="100"/>
      <c r="F105" s="100"/>
      <c r="G105" s="19"/>
    </row>
    <row r="106" spans="2:7" x14ac:dyDescent="0.2">
      <c r="B106" s="106" t="s">
        <v>2119</v>
      </c>
      <c r="G106" s="107"/>
    </row>
    <row r="107" spans="2:7" ht="17" thickBot="1" x14ac:dyDescent="0.25">
      <c r="B107" s="20" t="s">
        <v>2120</v>
      </c>
      <c r="C107" s="103"/>
      <c r="D107" s="103"/>
      <c r="E107" s="103"/>
      <c r="F107" s="103"/>
      <c r="G107" s="21"/>
    </row>
    <row r="109" spans="2:7" x14ac:dyDescent="0.2">
      <c r="B109" s="1" t="s">
        <v>2121</v>
      </c>
    </row>
    <row r="110" spans="2:7" x14ac:dyDescent="0.2">
      <c r="B110" s="1" t="s">
        <v>2122</v>
      </c>
      <c r="D110" s="110">
        <v>0</v>
      </c>
      <c r="F110" s="1" t="s">
        <v>2124</v>
      </c>
    </row>
    <row r="111" spans="2:7" x14ac:dyDescent="0.2">
      <c r="B111" s="1" t="s">
        <v>2123</v>
      </c>
      <c r="D111" s="110">
        <v>25</v>
      </c>
      <c r="F111" s="1" t="s">
        <v>2125</v>
      </c>
    </row>
    <row r="122" spans="1:4" x14ac:dyDescent="0.2">
      <c r="A122" s="1" t="s">
        <v>1241</v>
      </c>
      <c r="B122" s="1">
        <v>400</v>
      </c>
    </row>
    <row r="123" spans="1:4" x14ac:dyDescent="0.2">
      <c r="A123" s="1" t="s">
        <v>2126</v>
      </c>
      <c r="B123" s="1">
        <v>300</v>
      </c>
      <c r="D123" s="1" t="s">
        <v>2079</v>
      </c>
    </row>
    <row r="124" spans="1:4" x14ac:dyDescent="0.2">
      <c r="A124" s="1" t="s">
        <v>2127</v>
      </c>
      <c r="B124" s="1">
        <f>B122-B123</f>
        <v>100</v>
      </c>
      <c r="D124" s="1" t="s">
        <v>2128</v>
      </c>
    </row>
    <row r="125" spans="1:4" x14ac:dyDescent="0.2">
      <c r="A125" s="1" t="s">
        <v>2129</v>
      </c>
      <c r="B125" s="1">
        <v>8</v>
      </c>
    </row>
    <row r="126" spans="1:4" x14ac:dyDescent="0.2">
      <c r="A126" s="1" t="s">
        <v>2130</v>
      </c>
    </row>
    <row r="128" spans="1:4" x14ac:dyDescent="0.2">
      <c r="A128" s="2" t="s">
        <v>2131</v>
      </c>
    </row>
    <row r="129" spans="1:5" x14ac:dyDescent="0.2">
      <c r="A129" s="1" t="s">
        <v>2132</v>
      </c>
      <c r="B129" s="1">
        <v>200</v>
      </c>
      <c r="D129" s="1" t="s">
        <v>2133</v>
      </c>
    </row>
    <row r="130" spans="1:5" x14ac:dyDescent="0.2">
      <c r="A130" s="1" t="s">
        <v>2135</v>
      </c>
      <c r="B130" s="1">
        <v>100</v>
      </c>
    </row>
    <row r="131" spans="1:5" x14ac:dyDescent="0.2">
      <c r="A131" s="1" t="s">
        <v>2134</v>
      </c>
      <c r="B131" s="1">
        <v>100</v>
      </c>
    </row>
    <row r="133" spans="1:5" x14ac:dyDescent="0.2">
      <c r="A133" s="1" t="s">
        <v>2136</v>
      </c>
      <c r="C133" s="1">
        <f>B129/8</f>
        <v>25</v>
      </c>
      <c r="E133" s="1" t="s">
        <v>2137</v>
      </c>
    </row>
    <row r="134" spans="1:5" x14ac:dyDescent="0.2">
      <c r="A134" s="1" t="s">
        <v>2138</v>
      </c>
      <c r="C134" s="1">
        <f>100/8*0.75</f>
        <v>9.375</v>
      </c>
      <c r="E134" s="1" t="s">
        <v>2139</v>
      </c>
    </row>
    <row r="135" spans="1:5" ht="17" thickBot="1" x14ac:dyDescent="0.25">
      <c r="A135" s="1" t="s">
        <v>2140</v>
      </c>
      <c r="C135" s="1">
        <f>100/8*0.5</f>
        <v>6.25</v>
      </c>
      <c r="E135" s="1" t="s">
        <v>2141</v>
      </c>
    </row>
    <row r="136" spans="1:5" ht="17" thickBot="1" x14ac:dyDescent="0.25">
      <c r="A136" s="110" t="s">
        <v>2142</v>
      </c>
      <c r="B136" s="110"/>
      <c r="C136" s="360">
        <f>SUM(C133:C135)</f>
        <v>40.625</v>
      </c>
    </row>
    <row r="137" spans="1:5" ht="17" thickBot="1" x14ac:dyDescent="0.25"/>
    <row r="138" spans="1:5" x14ac:dyDescent="0.2">
      <c r="A138" s="361" t="s">
        <v>1989</v>
      </c>
      <c r="B138" s="362">
        <f>C136</f>
        <v>40.625</v>
      </c>
    </row>
    <row r="139" spans="1:5" ht="17" thickBot="1" x14ac:dyDescent="0.25">
      <c r="A139" s="363" t="s">
        <v>1999</v>
      </c>
      <c r="B139" s="364">
        <f>B138</f>
        <v>40.625</v>
      </c>
    </row>
    <row r="141" spans="1:5" x14ac:dyDescent="0.2">
      <c r="A141" s="2" t="s">
        <v>2143</v>
      </c>
    </row>
    <row r="142" spans="1:5" x14ac:dyDescent="0.2">
      <c r="A142" s="1" t="s">
        <v>2144</v>
      </c>
    </row>
    <row r="144" spans="1:5" x14ac:dyDescent="0.2">
      <c r="A144" s="1" t="s">
        <v>2145</v>
      </c>
      <c r="B144" s="46">
        <v>100</v>
      </c>
    </row>
    <row r="145" spans="1:5" x14ac:dyDescent="0.2">
      <c r="A145" s="1" t="s">
        <v>2146</v>
      </c>
      <c r="B145" s="367">
        <f>B144/8*1.75</f>
        <v>21.875</v>
      </c>
      <c r="E145" s="1" t="s">
        <v>2147</v>
      </c>
    </row>
    <row r="146" spans="1:5" x14ac:dyDescent="0.2">
      <c r="A146" s="1" t="s">
        <v>2148</v>
      </c>
      <c r="B146" s="150">
        <f>B144-B145</f>
        <v>78.125</v>
      </c>
    </row>
    <row r="148" spans="1:5" x14ac:dyDescent="0.2">
      <c r="A148" s="1" t="s">
        <v>2149</v>
      </c>
    </row>
    <row r="149" spans="1:5" x14ac:dyDescent="0.2">
      <c r="A149" s="1" t="s">
        <v>2150</v>
      </c>
    </row>
    <row r="151" spans="1:5" x14ac:dyDescent="0.2">
      <c r="A151" s="1" t="s">
        <v>941</v>
      </c>
      <c r="B151" s="365">
        <f>B152+B153</f>
        <v>64.125</v>
      </c>
      <c r="E151" s="1" t="s">
        <v>2151</v>
      </c>
    </row>
    <row r="152" spans="1:5" x14ac:dyDescent="0.2">
      <c r="A152" s="1" t="s">
        <v>2007</v>
      </c>
      <c r="B152" s="6">
        <f>B146</f>
        <v>78.125</v>
      </c>
      <c r="E152" s="1" t="s">
        <v>2152</v>
      </c>
    </row>
    <row r="153" spans="1:5" x14ac:dyDescent="0.2">
      <c r="A153" s="1" t="s">
        <v>729</v>
      </c>
      <c r="B153" s="368">
        <v>-14</v>
      </c>
    </row>
    <row r="155" spans="1:5" x14ac:dyDescent="0.2">
      <c r="A155" s="1" t="s">
        <v>2153</v>
      </c>
    </row>
    <row r="157" spans="1:5" x14ac:dyDescent="0.2">
      <c r="A157" s="1" t="s">
        <v>2154</v>
      </c>
      <c r="B157" s="366">
        <f>B151</f>
        <v>64.125</v>
      </c>
    </row>
    <row r="158" spans="1:5" x14ac:dyDescent="0.2">
      <c r="A158" s="1" t="s">
        <v>2155</v>
      </c>
      <c r="B158" s="8">
        <f>B144</f>
        <v>100</v>
      </c>
    </row>
    <row r="159" spans="1:5" x14ac:dyDescent="0.2">
      <c r="A159" s="1" t="s">
        <v>2156</v>
      </c>
      <c r="B159" s="33">
        <f>B145</f>
        <v>21.875</v>
      </c>
    </row>
    <row r="160" spans="1:5" x14ac:dyDescent="0.2">
      <c r="A160" s="1" t="s">
        <v>2157</v>
      </c>
      <c r="B160" s="369">
        <f>-B153</f>
        <v>14</v>
      </c>
    </row>
    <row r="162" spans="1:4" x14ac:dyDescent="0.2">
      <c r="A162" s="1" t="s">
        <v>2158</v>
      </c>
    </row>
    <row r="163" spans="1:4" x14ac:dyDescent="0.2">
      <c r="A163" s="1" t="s">
        <v>2160</v>
      </c>
      <c r="B163" s="110">
        <f>500+B157</f>
        <v>564.125</v>
      </c>
      <c r="D163" s="1" t="s">
        <v>2159</v>
      </c>
    </row>
    <row r="164" spans="1:4" x14ac:dyDescent="0.2">
      <c r="A164" s="1" t="s">
        <v>2162</v>
      </c>
      <c r="B164" s="110">
        <v>300</v>
      </c>
      <c r="D164" s="1" t="s">
        <v>2161</v>
      </c>
    </row>
    <row r="165" spans="1:4" x14ac:dyDescent="0.2">
      <c r="A165" s="1" t="s">
        <v>2163</v>
      </c>
      <c r="B165" s="110">
        <f>B160</f>
        <v>14</v>
      </c>
    </row>
    <row r="166" spans="1:4" x14ac:dyDescent="0.2">
      <c r="A166" s="1" t="s">
        <v>2164</v>
      </c>
      <c r="B166" s="110">
        <f>37.5+40.625-21.875</f>
        <v>56.25</v>
      </c>
      <c r="D166" s="1" t="s">
        <v>2165</v>
      </c>
    </row>
    <row r="168" spans="1:4" x14ac:dyDescent="0.2">
      <c r="A168" s="1" t="s">
        <v>2166</v>
      </c>
    </row>
    <row r="169" spans="1:4" x14ac:dyDescent="0.2">
      <c r="A169" s="1" t="s">
        <v>2167</v>
      </c>
    </row>
    <row r="179" spans="1:5" x14ac:dyDescent="0.2">
      <c r="A179" s="1" t="s">
        <v>2170</v>
      </c>
      <c r="B179" s="1">
        <v>80</v>
      </c>
      <c r="C179" s="1" t="s">
        <v>1000</v>
      </c>
    </row>
    <row r="180" spans="1:5" x14ac:dyDescent="0.2">
      <c r="A180" s="1" t="s">
        <v>2171</v>
      </c>
      <c r="B180" s="1">
        <v>4</v>
      </c>
    </row>
    <row r="182" spans="1:5" x14ac:dyDescent="0.2">
      <c r="A182" s="1" t="s">
        <v>2172</v>
      </c>
      <c r="B182" s="373">
        <f>(80-10)/4*7/12</f>
        <v>10.208333333333334</v>
      </c>
      <c r="E182" s="1" t="s">
        <v>2173</v>
      </c>
    </row>
    <row r="183" spans="1:5" ht="17" thickBot="1" x14ac:dyDescent="0.25"/>
    <row r="184" spans="1:5" x14ac:dyDescent="0.2">
      <c r="A184" s="375" t="s">
        <v>1989</v>
      </c>
      <c r="B184" s="376">
        <f>B182</f>
        <v>10.208333333333334</v>
      </c>
    </row>
    <row r="185" spans="1:5" ht="17" thickBot="1" x14ac:dyDescent="0.25">
      <c r="A185" s="377" t="s">
        <v>2174</v>
      </c>
      <c r="B185" s="378">
        <f>B184</f>
        <v>10.208333333333334</v>
      </c>
    </row>
    <row r="187" spans="1:5" x14ac:dyDescent="0.2">
      <c r="A187" s="1" t="s">
        <v>2175</v>
      </c>
    </row>
    <row r="188" spans="1:5" x14ac:dyDescent="0.2">
      <c r="A188" s="110" t="s">
        <v>2176</v>
      </c>
      <c r="B188" s="374">
        <f>40.625+B184</f>
        <v>50.833333333333336</v>
      </c>
      <c r="E188" s="1" t="s">
        <v>2177</v>
      </c>
    </row>
    <row r="189" spans="1:5" x14ac:dyDescent="0.2">
      <c r="A189" s="110" t="s">
        <v>1991</v>
      </c>
      <c r="B189" s="374">
        <f>B185</f>
        <v>10.208333333333334</v>
      </c>
    </row>
    <row r="196" spans="1:4" x14ac:dyDescent="0.2">
      <c r="A196" s="1" t="s">
        <v>2178</v>
      </c>
      <c r="B196" s="1">
        <v>8</v>
      </c>
    </row>
    <row r="197" spans="1:4" x14ac:dyDescent="0.2">
      <c r="A197" s="1" t="s">
        <v>2179</v>
      </c>
      <c r="B197" s="1">
        <v>8</v>
      </c>
    </row>
    <row r="199" spans="1:4" x14ac:dyDescent="0.2">
      <c r="A199" s="110" t="s">
        <v>2180</v>
      </c>
      <c r="B199" s="110">
        <f>75+8</f>
        <v>83</v>
      </c>
      <c r="D199" s="1" t="s">
        <v>2181</v>
      </c>
    </row>
    <row r="200" spans="1:4" x14ac:dyDescent="0.2">
      <c r="A200" s="110" t="s">
        <v>2182</v>
      </c>
      <c r="B200" s="110">
        <f>B197</f>
        <v>8</v>
      </c>
      <c r="C200" s="1" t="s">
        <v>452</v>
      </c>
    </row>
    <row r="203" spans="1:4" x14ac:dyDescent="0.2">
      <c r="A203" s="2" t="s">
        <v>2185</v>
      </c>
    </row>
    <row r="205" spans="1:4" x14ac:dyDescent="0.2">
      <c r="A205" s="1" t="s">
        <v>2186</v>
      </c>
    </row>
    <row r="207" spans="1:4" x14ac:dyDescent="0.2">
      <c r="A207" s="1" t="s">
        <v>68</v>
      </c>
      <c r="B207" s="6">
        <v>950</v>
      </c>
    </row>
    <row r="208" spans="1:4" x14ac:dyDescent="0.2">
      <c r="A208" s="1" t="s">
        <v>95</v>
      </c>
      <c r="B208" s="6">
        <f>-(300+60-120)</f>
        <v>-240</v>
      </c>
      <c r="D208" s="1" t="s">
        <v>2189</v>
      </c>
    </row>
    <row r="209" spans="1:5" x14ac:dyDescent="0.2">
      <c r="A209" s="1" t="s">
        <v>71</v>
      </c>
      <c r="B209" s="328">
        <f>B207+B208</f>
        <v>710</v>
      </c>
    </row>
    <row r="210" spans="1:5" x14ac:dyDescent="0.2">
      <c r="A210" s="1" t="s">
        <v>2035</v>
      </c>
      <c r="B210" s="6">
        <f>-(45+93)</f>
        <v>-138</v>
      </c>
      <c r="C210" s="1" t="s">
        <v>2190</v>
      </c>
    </row>
    <row r="211" spans="1:5" x14ac:dyDescent="0.2">
      <c r="A211" s="1" t="s">
        <v>2036</v>
      </c>
      <c r="B211" s="231">
        <f>-(G5+G26+G28+G29+G34)</f>
        <v>-171.83333333333334</v>
      </c>
    </row>
    <row r="212" spans="1:5" x14ac:dyDescent="0.2">
      <c r="A212" s="1" t="s">
        <v>2187</v>
      </c>
      <c r="B212" s="6">
        <f>-G35</f>
        <v>-14</v>
      </c>
      <c r="C212" s="1" t="s">
        <v>729</v>
      </c>
    </row>
    <row r="213" spans="1:5" x14ac:dyDescent="0.2">
      <c r="A213" s="1" t="s">
        <v>1503</v>
      </c>
      <c r="B213" s="381">
        <f>B209+B210+B211+B212</f>
        <v>386.16666666666663</v>
      </c>
    </row>
    <row r="214" spans="1:5" x14ac:dyDescent="0.2">
      <c r="A214" s="1" t="s">
        <v>1188</v>
      </c>
      <c r="B214" s="6">
        <f>-(G23)</f>
        <v>-83</v>
      </c>
    </row>
    <row r="215" spans="1:5" x14ac:dyDescent="0.2">
      <c r="A215" s="1" t="s">
        <v>1189</v>
      </c>
      <c r="B215" s="6">
        <f>F19+F24</f>
        <v>35</v>
      </c>
      <c r="C215" s="1" t="s">
        <v>2191</v>
      </c>
    </row>
    <row r="216" spans="1:5" x14ac:dyDescent="0.2">
      <c r="A216" s="1" t="s">
        <v>2188</v>
      </c>
      <c r="B216" s="381">
        <f>SUM(B213:B215)</f>
        <v>338.16666666666663</v>
      </c>
    </row>
    <row r="218" spans="1:5" x14ac:dyDescent="0.2">
      <c r="A218" s="1" t="s">
        <v>2192</v>
      </c>
    </row>
    <row r="220" spans="1:5" x14ac:dyDescent="0.2">
      <c r="A220" s="1" t="s">
        <v>6</v>
      </c>
      <c r="E220" s="1" t="s">
        <v>1042</v>
      </c>
    </row>
    <row r="222" spans="1:5" x14ac:dyDescent="0.2">
      <c r="A222" s="1" t="s">
        <v>1431</v>
      </c>
      <c r="E222" s="1" t="s">
        <v>1434</v>
      </c>
    </row>
    <row r="225" spans="1:7" x14ac:dyDescent="0.2">
      <c r="A225" s="1" t="s">
        <v>133</v>
      </c>
      <c r="B225" s="1">
        <f>C4+C7</f>
        <v>714.125</v>
      </c>
      <c r="E225" s="1" t="s">
        <v>22</v>
      </c>
      <c r="G225" s="1">
        <f>D12</f>
        <v>180</v>
      </c>
    </row>
    <row r="226" spans="1:7" x14ac:dyDescent="0.2">
      <c r="A226" s="1" t="s">
        <v>14</v>
      </c>
      <c r="B226" s="1">
        <f>C6</f>
        <v>600</v>
      </c>
      <c r="E226" s="1" t="s">
        <v>16</v>
      </c>
      <c r="G226" s="1">
        <f>D10</f>
        <v>70</v>
      </c>
    </row>
    <row r="227" spans="1:7" ht="17" thickBot="1" x14ac:dyDescent="0.25">
      <c r="A227" s="1" t="s">
        <v>2193</v>
      </c>
      <c r="B227" s="1">
        <f>C9</f>
        <v>100</v>
      </c>
      <c r="E227" s="110" t="s">
        <v>139</v>
      </c>
      <c r="F227" s="110"/>
      <c r="G227" s="110">
        <v>8</v>
      </c>
    </row>
    <row r="228" spans="1:7" ht="17" thickBot="1" x14ac:dyDescent="0.25">
      <c r="A228" s="1" t="s">
        <v>63</v>
      </c>
      <c r="B228" s="1">
        <f>C30</f>
        <v>120</v>
      </c>
      <c r="E228" s="1" t="s">
        <v>2196</v>
      </c>
      <c r="G228" s="22">
        <f>G225+G226+G227</f>
        <v>258</v>
      </c>
    </row>
    <row r="229" spans="1:7" x14ac:dyDescent="0.2">
      <c r="A229" s="1" t="s">
        <v>1519</v>
      </c>
      <c r="B229" s="1">
        <f>SUM(B225:B228)</f>
        <v>1534.125</v>
      </c>
    </row>
    <row r="230" spans="1:7" x14ac:dyDescent="0.2">
      <c r="E230" s="1" t="s">
        <v>1520</v>
      </c>
    </row>
    <row r="231" spans="1:7" ht="17" thickBot="1" x14ac:dyDescent="0.25">
      <c r="E231" s="1" t="s">
        <v>1482</v>
      </c>
      <c r="G231" s="1">
        <f>D22</f>
        <v>100</v>
      </c>
    </row>
    <row r="232" spans="1:7" ht="17" thickBot="1" x14ac:dyDescent="0.25">
      <c r="A232" s="1" t="s">
        <v>1432</v>
      </c>
      <c r="E232" s="1" t="s">
        <v>2197</v>
      </c>
      <c r="G232" s="22">
        <f>G231</f>
        <v>100</v>
      </c>
    </row>
    <row r="233" spans="1:7" x14ac:dyDescent="0.2">
      <c r="A233" s="1" t="s">
        <v>2194</v>
      </c>
      <c r="B233" s="372">
        <f>C17+C20+C18+C36</f>
        <v>313.54166666666669</v>
      </c>
    </row>
    <row r="234" spans="1:7" x14ac:dyDescent="0.2">
      <c r="A234" s="1" t="s">
        <v>2195</v>
      </c>
      <c r="B234" s="1">
        <f>C21</f>
        <v>95</v>
      </c>
      <c r="E234" s="1" t="s">
        <v>124</v>
      </c>
    </row>
    <row r="235" spans="1:7" x14ac:dyDescent="0.2">
      <c r="A235" s="1" t="s">
        <v>1159</v>
      </c>
      <c r="B235" s="372">
        <f>B233+B234</f>
        <v>408.54166666666669</v>
      </c>
      <c r="E235" s="1" t="s">
        <v>24</v>
      </c>
      <c r="G235" s="1">
        <f>E13</f>
        <v>100</v>
      </c>
    </row>
    <row r="236" spans="1:7" ht="17" thickBot="1" x14ac:dyDescent="0.25">
      <c r="E236" s="1" t="s">
        <v>1164</v>
      </c>
      <c r="G236" s="206">
        <f>G242-G228-G232-G235</f>
        <v>1484.6666666666667</v>
      </c>
    </row>
    <row r="237" spans="1:7" ht="17" thickBot="1" x14ac:dyDescent="0.25">
      <c r="E237" s="1" t="s">
        <v>272</v>
      </c>
      <c r="G237" s="239">
        <f>G235+G236</f>
        <v>1584.6666666666667</v>
      </c>
    </row>
    <row r="238" spans="1:7" x14ac:dyDescent="0.2">
      <c r="G238" s="87"/>
    </row>
    <row r="241" spans="1:7" ht="17" thickBot="1" x14ac:dyDescent="0.25"/>
    <row r="242" spans="1:7" ht="17" thickBot="1" x14ac:dyDescent="0.25">
      <c r="A242" s="1" t="s">
        <v>1433</v>
      </c>
      <c r="B242" s="372">
        <f>B229+B235</f>
        <v>1942.6666666666667</v>
      </c>
      <c r="E242" s="1" t="s">
        <v>1169</v>
      </c>
      <c r="G242" s="382">
        <f>B242</f>
        <v>1942.6666666666667</v>
      </c>
    </row>
  </sheetData>
  <mergeCells count="2">
    <mergeCell ref="C42:F42"/>
    <mergeCell ref="A40:C40"/>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F8D4F-592A-B247-A38B-A2CDB092F6BB}">
  <dimension ref="A1:G32"/>
  <sheetViews>
    <sheetView rightToLeft="1" topLeftCell="A11" zoomScale="400" workbookViewId="0">
      <selection activeCell="E25" sqref="E25"/>
    </sheetView>
  </sheetViews>
  <sheetFormatPr baseColWidth="10" defaultRowHeight="16" x14ac:dyDescent="0.2"/>
  <cols>
    <col min="1" max="16384" width="10.83203125" style="1"/>
  </cols>
  <sheetData>
    <row r="1" spans="1:7" x14ac:dyDescent="0.2">
      <c r="A1" s="1" t="s">
        <v>2800</v>
      </c>
    </row>
    <row r="2" spans="1:7" x14ac:dyDescent="0.2">
      <c r="A2" s="1" t="s">
        <v>2801</v>
      </c>
    </row>
    <row r="3" spans="1:7" ht="17" thickBot="1" x14ac:dyDescent="0.25"/>
    <row r="4" spans="1:7" x14ac:dyDescent="0.2">
      <c r="A4" s="180" t="s">
        <v>2791</v>
      </c>
      <c r="B4" s="411" t="s">
        <v>2792</v>
      </c>
      <c r="C4" s="411" t="s">
        <v>2793</v>
      </c>
      <c r="D4" s="100"/>
      <c r="E4" s="100"/>
      <c r="F4" s="100"/>
      <c r="G4" s="19"/>
    </row>
    <row r="5" spans="1:7" x14ac:dyDescent="0.2">
      <c r="A5" s="106" t="s">
        <v>2802</v>
      </c>
      <c r="G5" s="107"/>
    </row>
    <row r="6" spans="1:7" x14ac:dyDescent="0.2">
      <c r="A6" s="106" t="s">
        <v>2803</v>
      </c>
      <c r="G6" s="107"/>
    </row>
    <row r="7" spans="1:7" x14ac:dyDescent="0.2">
      <c r="A7" s="106" t="s">
        <v>2804</v>
      </c>
      <c r="G7" s="107"/>
    </row>
    <row r="8" spans="1:7" x14ac:dyDescent="0.2">
      <c r="A8" s="106" t="s">
        <v>2805</v>
      </c>
      <c r="G8" s="107"/>
    </row>
    <row r="9" spans="1:7" x14ac:dyDescent="0.2">
      <c r="A9" s="106" t="s">
        <v>2806</v>
      </c>
      <c r="G9" s="107"/>
    </row>
    <row r="10" spans="1:7" x14ac:dyDescent="0.2">
      <c r="A10" s="106" t="s">
        <v>2807</v>
      </c>
      <c r="G10" s="107"/>
    </row>
    <row r="11" spans="1:7" x14ac:dyDescent="0.2">
      <c r="A11" s="106" t="s">
        <v>2808</v>
      </c>
      <c r="G11" s="107"/>
    </row>
    <row r="12" spans="1:7" x14ac:dyDescent="0.2">
      <c r="A12" s="106" t="s">
        <v>2809</v>
      </c>
      <c r="G12" s="107"/>
    </row>
    <row r="13" spans="1:7" x14ac:dyDescent="0.2">
      <c r="A13" s="151" t="s">
        <v>2810</v>
      </c>
      <c r="G13" s="107"/>
    </row>
    <row r="14" spans="1:7" ht="17" thickBot="1" x14ac:dyDescent="0.25">
      <c r="A14" s="20" t="s">
        <v>2811</v>
      </c>
      <c r="B14" s="103"/>
      <c r="C14" s="103"/>
      <c r="D14" s="103"/>
      <c r="E14" s="103"/>
      <c r="F14" s="103"/>
      <c r="G14" s="21"/>
    </row>
    <row r="15" spans="1:7" ht="17" thickBot="1" x14ac:dyDescent="0.25"/>
    <row r="16" spans="1:7" x14ac:dyDescent="0.2">
      <c r="A16" s="180" t="s">
        <v>2794</v>
      </c>
      <c r="B16" s="411" t="s">
        <v>2812</v>
      </c>
      <c r="C16" s="100"/>
      <c r="D16" s="100"/>
      <c r="E16" s="100"/>
      <c r="F16" s="100"/>
      <c r="G16" s="19"/>
    </row>
    <row r="17" spans="1:7" x14ac:dyDescent="0.2">
      <c r="A17" s="106" t="s">
        <v>308</v>
      </c>
      <c r="B17" s="1" t="s">
        <v>2795</v>
      </c>
      <c r="C17" s="1" t="s">
        <v>2796</v>
      </c>
      <c r="D17" s="1" t="s">
        <v>2813</v>
      </c>
      <c r="G17" s="107"/>
    </row>
    <row r="18" spans="1:7" x14ac:dyDescent="0.2">
      <c r="A18" s="106" t="s">
        <v>338</v>
      </c>
      <c r="B18" s="1" t="s">
        <v>2797</v>
      </c>
      <c r="C18" s="1" t="s">
        <v>2796</v>
      </c>
      <c r="D18" s="1" t="s">
        <v>2814</v>
      </c>
      <c r="G18" s="107"/>
    </row>
    <row r="19" spans="1:7" x14ac:dyDescent="0.2">
      <c r="A19" s="106" t="s">
        <v>2222</v>
      </c>
      <c r="B19" s="1" t="s">
        <v>14</v>
      </c>
      <c r="C19" s="1" t="s">
        <v>2799</v>
      </c>
      <c r="D19" s="1" t="s">
        <v>2815</v>
      </c>
      <c r="G19" s="107"/>
    </row>
    <row r="20" spans="1:7" ht="17" thickBot="1" x14ac:dyDescent="0.25">
      <c r="A20" s="20" t="s">
        <v>2798</v>
      </c>
      <c r="B20" s="103" t="s">
        <v>17</v>
      </c>
      <c r="C20" s="103" t="s">
        <v>2799</v>
      </c>
      <c r="D20" s="103" t="s">
        <v>2816</v>
      </c>
      <c r="E20" s="103"/>
      <c r="F20" s="103"/>
      <c r="G20" s="21"/>
    </row>
    <row r="21" spans="1:7" ht="17" thickBot="1" x14ac:dyDescent="0.25"/>
    <row r="22" spans="1:7" x14ac:dyDescent="0.2">
      <c r="A22" s="180" t="s">
        <v>2818</v>
      </c>
      <c r="B22" s="100"/>
      <c r="C22" s="100"/>
      <c r="D22" s="100"/>
      <c r="E22" s="100"/>
      <c r="F22" s="100"/>
      <c r="G22" s="19"/>
    </row>
    <row r="23" spans="1:7" x14ac:dyDescent="0.2">
      <c r="A23" s="106" t="s">
        <v>2817</v>
      </c>
      <c r="G23" s="107"/>
    </row>
    <row r="24" spans="1:7" x14ac:dyDescent="0.2">
      <c r="A24" s="106" t="s">
        <v>2819</v>
      </c>
      <c r="G24" s="107"/>
    </row>
    <row r="25" spans="1:7" x14ac:dyDescent="0.2">
      <c r="A25" s="106" t="s">
        <v>2820</v>
      </c>
      <c r="G25" s="107"/>
    </row>
    <row r="26" spans="1:7" x14ac:dyDescent="0.2">
      <c r="A26" s="106" t="s">
        <v>2821</v>
      </c>
      <c r="G26" s="107"/>
    </row>
    <row r="27" spans="1:7" x14ac:dyDescent="0.2">
      <c r="A27" s="106" t="s">
        <v>2822</v>
      </c>
      <c r="G27" s="107"/>
    </row>
    <row r="28" spans="1:7" x14ac:dyDescent="0.2">
      <c r="A28" s="106" t="s">
        <v>2823</v>
      </c>
      <c r="G28" s="107"/>
    </row>
    <row r="29" spans="1:7" x14ac:dyDescent="0.2">
      <c r="A29" s="106" t="s">
        <v>2824</v>
      </c>
      <c r="G29" s="107"/>
    </row>
    <row r="30" spans="1:7" x14ac:dyDescent="0.2">
      <c r="A30" s="106" t="s">
        <v>2825</v>
      </c>
      <c r="G30" s="107"/>
    </row>
    <row r="31" spans="1:7" x14ac:dyDescent="0.2">
      <c r="A31" s="106" t="s">
        <v>2826</v>
      </c>
      <c r="G31" s="107"/>
    </row>
    <row r="32" spans="1:7" ht="17" thickBot="1" x14ac:dyDescent="0.25">
      <c r="A32" s="20" t="s">
        <v>2827</v>
      </c>
      <c r="B32" s="103"/>
      <c r="C32" s="103"/>
      <c r="D32" s="103"/>
      <c r="E32" s="103"/>
      <c r="F32" s="103"/>
      <c r="G32" s="21"/>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1B1D2-57C1-824E-9723-9267DB46162E}">
  <dimension ref="A1:P295"/>
  <sheetViews>
    <sheetView rightToLeft="1" topLeftCell="A32" zoomScale="182" workbookViewId="0">
      <selection activeCell="A2" sqref="A2"/>
    </sheetView>
  </sheetViews>
  <sheetFormatPr baseColWidth="10" defaultRowHeight="16" x14ac:dyDescent="0.2"/>
  <cols>
    <col min="1" max="1" width="24.1640625" style="87" customWidth="1"/>
    <col min="2" max="16384" width="10.83203125" style="87"/>
  </cols>
  <sheetData>
    <row r="1" spans="1:8" x14ac:dyDescent="0.2">
      <c r="A1" s="929" t="s">
        <v>2198</v>
      </c>
      <c r="B1" s="929"/>
      <c r="C1" s="929"/>
      <c r="D1" s="929"/>
      <c r="E1" s="929"/>
      <c r="F1" s="929"/>
      <c r="G1" s="929"/>
      <c r="H1" s="929"/>
    </row>
    <row r="2" spans="1:8" ht="17" thickBot="1" x14ac:dyDescent="0.25"/>
    <row r="3" spans="1:8" x14ac:dyDescent="0.2">
      <c r="A3" s="196" t="s">
        <v>1273</v>
      </c>
      <c r="B3" s="197"/>
      <c r="C3" s="197"/>
      <c r="D3" s="197"/>
      <c r="E3" s="197"/>
      <c r="F3" s="197"/>
      <c r="G3" s="197"/>
      <c r="H3" s="198"/>
    </row>
    <row r="4" spans="1:8" x14ac:dyDescent="0.2">
      <c r="A4" s="199" t="s">
        <v>1274</v>
      </c>
      <c r="H4" s="200"/>
    </row>
    <row r="5" spans="1:8" x14ac:dyDescent="0.2">
      <c r="A5" s="199" t="s">
        <v>1275</v>
      </c>
      <c r="H5" s="200"/>
    </row>
    <row r="6" spans="1:8" x14ac:dyDescent="0.2">
      <c r="A6" s="199"/>
      <c r="H6" s="200"/>
    </row>
    <row r="7" spans="1:8" ht="17" thickBot="1" x14ac:dyDescent="0.25">
      <c r="A7" s="201" t="s">
        <v>1276</v>
      </c>
      <c r="B7" s="202"/>
      <c r="C7" s="202"/>
      <c r="D7" s="202"/>
      <c r="E7" s="202"/>
      <c r="F7" s="202"/>
      <c r="G7" s="202"/>
      <c r="H7" s="203"/>
    </row>
    <row r="8" spans="1:8" ht="17" thickBot="1" x14ac:dyDescent="0.25"/>
    <row r="9" spans="1:8" x14ac:dyDescent="0.2">
      <c r="A9" s="196" t="s">
        <v>1268</v>
      </c>
      <c r="B9" s="197"/>
      <c r="C9" s="197"/>
      <c r="D9" s="197"/>
      <c r="E9" s="197"/>
      <c r="F9" s="197"/>
      <c r="G9" s="197"/>
      <c r="H9" s="198"/>
    </row>
    <row r="10" spans="1:8" x14ac:dyDescent="0.2">
      <c r="A10" s="199" t="s">
        <v>1269</v>
      </c>
      <c r="H10" s="200"/>
    </row>
    <row r="11" spans="1:8" x14ac:dyDescent="0.2">
      <c r="A11" s="199" t="s">
        <v>1270</v>
      </c>
      <c r="H11" s="200"/>
    </row>
    <row r="12" spans="1:8" x14ac:dyDescent="0.2">
      <c r="A12" s="199" t="s">
        <v>1271</v>
      </c>
      <c r="H12" s="200"/>
    </row>
    <row r="13" spans="1:8" ht="17" thickBot="1" x14ac:dyDescent="0.25">
      <c r="A13" s="201" t="s">
        <v>1272</v>
      </c>
      <c r="B13" s="202"/>
      <c r="C13" s="202"/>
      <c r="D13" s="202"/>
      <c r="E13" s="202"/>
      <c r="F13" s="202"/>
      <c r="G13" s="202"/>
      <c r="H13" s="203"/>
    </row>
    <row r="15" spans="1:8" x14ac:dyDescent="0.2">
      <c r="A15" s="87" t="s">
        <v>1235</v>
      </c>
    </row>
    <row r="16" spans="1:8" x14ac:dyDescent="0.2">
      <c r="A16" s="87" t="s">
        <v>1236</v>
      </c>
    </row>
    <row r="17" spans="1:9" x14ac:dyDescent="0.2">
      <c r="A17" s="87" t="s">
        <v>951</v>
      </c>
      <c r="I17"/>
    </row>
    <row r="19" spans="1:9" x14ac:dyDescent="0.2">
      <c r="A19" s="192" t="s">
        <v>9</v>
      </c>
      <c r="B19" s="192" t="s">
        <v>107</v>
      </c>
      <c r="C19" s="192" t="s">
        <v>6</v>
      </c>
      <c r="D19" s="192" t="s">
        <v>7</v>
      </c>
      <c r="E19" s="192" t="s">
        <v>124</v>
      </c>
      <c r="F19" s="192" t="s">
        <v>4</v>
      </c>
      <c r="G19" s="192" t="s">
        <v>5</v>
      </c>
    </row>
    <row r="20" spans="1:9" x14ac:dyDescent="0.2">
      <c r="A20" s="87" t="s">
        <v>1238</v>
      </c>
      <c r="B20" s="87">
        <v>200</v>
      </c>
      <c r="C20" s="87">
        <f>B20</f>
        <v>200</v>
      </c>
    </row>
    <row r="21" spans="1:9" x14ac:dyDescent="0.2">
      <c r="A21" s="87" t="s">
        <v>1237</v>
      </c>
      <c r="B21" s="87">
        <v>72</v>
      </c>
      <c r="G21" s="87">
        <f>B21</f>
        <v>72</v>
      </c>
    </row>
    <row r="22" spans="1:9" x14ac:dyDescent="0.2">
      <c r="A22" s="87" t="s">
        <v>14</v>
      </c>
      <c r="B22" s="87">
        <v>400</v>
      </c>
      <c r="C22" s="87">
        <f>B22</f>
        <v>400</v>
      </c>
    </row>
    <row r="23" spans="1:9" x14ac:dyDescent="0.2">
      <c r="A23" s="87" t="s">
        <v>12</v>
      </c>
      <c r="B23" s="87">
        <v>150</v>
      </c>
      <c r="C23" s="87">
        <f>B23</f>
        <v>150</v>
      </c>
    </row>
    <row r="24" spans="1:9" x14ac:dyDescent="0.2">
      <c r="A24" s="87" t="s">
        <v>68</v>
      </c>
      <c r="B24" s="87">
        <v>500</v>
      </c>
      <c r="F24" s="87">
        <f>B24</f>
        <v>500</v>
      </c>
    </row>
    <row r="25" spans="1:9" ht="17" x14ac:dyDescent="0.2">
      <c r="A25" s="193" t="s">
        <v>1144</v>
      </c>
      <c r="B25" s="87">
        <v>100</v>
      </c>
      <c r="C25" s="87">
        <f>B25</f>
        <v>100</v>
      </c>
    </row>
    <row r="26" spans="1:9" x14ac:dyDescent="0.2">
      <c r="A26" s="87" t="s">
        <v>16</v>
      </c>
      <c r="B26" s="87">
        <v>50</v>
      </c>
      <c r="D26" s="87">
        <f>B26</f>
        <v>50</v>
      </c>
    </row>
    <row r="27" spans="1:9" ht="17" customHeight="1" x14ac:dyDescent="0.2">
      <c r="A27" s="193" t="s">
        <v>1277</v>
      </c>
      <c r="B27" s="87" t="s">
        <v>26</v>
      </c>
      <c r="D27" s="135">
        <f>5*2</f>
        <v>10</v>
      </c>
    </row>
    <row r="28" spans="1:9" ht="17" x14ac:dyDescent="0.2">
      <c r="A28" s="193" t="s">
        <v>22</v>
      </c>
      <c r="B28" s="87">
        <v>70</v>
      </c>
      <c r="D28" s="87">
        <f>B28</f>
        <v>70</v>
      </c>
    </row>
    <row r="29" spans="1:9" x14ac:dyDescent="0.2">
      <c r="A29" s="87" t="s">
        <v>24</v>
      </c>
      <c r="B29" s="87">
        <v>80</v>
      </c>
      <c r="E29" s="87">
        <f>B29</f>
        <v>80</v>
      </c>
    </row>
    <row r="30" spans="1:9" x14ac:dyDescent="0.2">
      <c r="A30" s="87" t="s">
        <v>259</v>
      </c>
      <c r="B30" s="87">
        <v>150</v>
      </c>
      <c r="G30" s="87">
        <f>B30</f>
        <v>150</v>
      </c>
    </row>
    <row r="31" spans="1:9" x14ac:dyDescent="0.2">
      <c r="A31" s="87" t="s">
        <v>1278</v>
      </c>
      <c r="B31" s="87">
        <v>90</v>
      </c>
      <c r="G31" s="87">
        <f>B31</f>
        <v>90</v>
      </c>
    </row>
    <row r="32" spans="1:9" x14ac:dyDescent="0.2">
      <c r="A32" s="87" t="s">
        <v>1297</v>
      </c>
      <c r="B32" s="87" t="s">
        <v>26</v>
      </c>
      <c r="E32" s="212">
        <f>C51-D51-(F51-G51)-E29</f>
        <v>2048.333333333333</v>
      </c>
    </row>
    <row r="33" spans="1:7" ht="17" x14ac:dyDescent="0.2">
      <c r="A33" s="193" t="s">
        <v>1241</v>
      </c>
      <c r="B33" s="87">
        <v>400</v>
      </c>
      <c r="C33" s="87">
        <f>B33</f>
        <v>400</v>
      </c>
    </row>
    <row r="34" spans="1:7" ht="17" x14ac:dyDescent="0.2">
      <c r="A34" s="193" t="s">
        <v>1242</v>
      </c>
      <c r="B34" s="87" t="s">
        <v>26</v>
      </c>
      <c r="C34" s="207">
        <f>-F111</f>
        <v>-26.666666666666668</v>
      </c>
    </row>
    <row r="35" spans="1:7" ht="17" x14ac:dyDescent="0.2">
      <c r="A35" s="193" t="s">
        <v>100</v>
      </c>
      <c r="B35" s="87">
        <v>20</v>
      </c>
      <c r="G35" s="87">
        <f>-B35</f>
        <v>-20</v>
      </c>
    </row>
    <row r="36" spans="1:7" ht="17" x14ac:dyDescent="0.2">
      <c r="A36" s="193" t="s">
        <v>109</v>
      </c>
      <c r="B36" s="87">
        <v>12</v>
      </c>
      <c r="F36" s="87">
        <f>B36</f>
        <v>12</v>
      </c>
    </row>
    <row r="37" spans="1:7" ht="17" x14ac:dyDescent="0.2">
      <c r="A37" s="193" t="s">
        <v>1246</v>
      </c>
      <c r="B37" s="87">
        <v>700</v>
      </c>
      <c r="C37" s="87">
        <f>B37</f>
        <v>700</v>
      </c>
    </row>
    <row r="38" spans="1:7" ht="17" x14ac:dyDescent="0.2">
      <c r="A38" s="193" t="s">
        <v>1153</v>
      </c>
      <c r="B38" s="87">
        <v>40</v>
      </c>
      <c r="C38" s="87">
        <f>B38</f>
        <v>40</v>
      </c>
    </row>
    <row r="39" spans="1:7" x14ac:dyDescent="0.2">
      <c r="A39" s="87" t="s">
        <v>20</v>
      </c>
      <c r="B39" s="87">
        <v>200</v>
      </c>
      <c r="C39" s="87">
        <f>B39</f>
        <v>200</v>
      </c>
    </row>
    <row r="40" spans="1:7" ht="17" x14ac:dyDescent="0.2">
      <c r="A40" s="193" t="s">
        <v>258</v>
      </c>
      <c r="B40" s="87">
        <v>80</v>
      </c>
      <c r="G40" s="87">
        <f>B40</f>
        <v>80</v>
      </c>
    </row>
    <row r="41" spans="1:7" ht="17" x14ac:dyDescent="0.2">
      <c r="A41" s="193" t="s">
        <v>1250</v>
      </c>
      <c r="B41" s="87">
        <v>30</v>
      </c>
      <c r="F41" s="87">
        <f>B41</f>
        <v>30</v>
      </c>
    </row>
    <row r="42" spans="1:7" ht="17" x14ac:dyDescent="0.2">
      <c r="A42" s="193" t="s">
        <v>1251</v>
      </c>
      <c r="B42" s="87">
        <v>22</v>
      </c>
      <c r="G42" s="87">
        <f>B42</f>
        <v>22</v>
      </c>
    </row>
    <row r="43" spans="1:7" ht="17" x14ac:dyDescent="0.2">
      <c r="A43" s="193" t="s">
        <v>1252</v>
      </c>
      <c r="B43" s="87">
        <v>40</v>
      </c>
      <c r="G43" s="87">
        <f>B43</f>
        <v>40</v>
      </c>
    </row>
    <row r="44" spans="1:7" ht="17" x14ac:dyDescent="0.2">
      <c r="A44" s="193" t="s">
        <v>1253</v>
      </c>
      <c r="B44" s="87">
        <v>50</v>
      </c>
      <c r="G44" s="87">
        <f>B44</f>
        <v>50</v>
      </c>
    </row>
    <row r="45" spans="1:7" ht="17" x14ac:dyDescent="0.2">
      <c r="A45" s="193" t="s">
        <v>260</v>
      </c>
      <c r="B45" s="87">
        <v>70</v>
      </c>
      <c r="G45" s="87">
        <f>B45</f>
        <v>70</v>
      </c>
    </row>
    <row r="46" spans="1:7" ht="17" x14ac:dyDescent="0.2">
      <c r="A46" s="193" t="s">
        <v>1254</v>
      </c>
      <c r="B46" s="87">
        <v>14</v>
      </c>
      <c r="G46" s="87">
        <f>B46</f>
        <v>14</v>
      </c>
    </row>
    <row r="47" spans="1:7" ht="17" x14ac:dyDescent="0.2">
      <c r="A47" s="193" t="s">
        <v>116</v>
      </c>
      <c r="B47" s="87">
        <v>30</v>
      </c>
      <c r="F47" s="87">
        <f>-B47</f>
        <v>-30</v>
      </c>
    </row>
    <row r="48" spans="1:7" ht="17" x14ac:dyDescent="0.2">
      <c r="A48" s="193" t="s">
        <v>1192</v>
      </c>
      <c r="B48" s="87">
        <v>39</v>
      </c>
      <c r="F48" s="87">
        <f>-B48</f>
        <v>-39</v>
      </c>
    </row>
    <row r="49" spans="1:7" ht="17" x14ac:dyDescent="0.2">
      <c r="A49" s="193" t="s">
        <v>1255</v>
      </c>
      <c r="B49" s="87" t="s">
        <v>26</v>
      </c>
      <c r="C49" s="135">
        <v>40</v>
      </c>
    </row>
    <row r="50" spans="1:7" ht="18" thickBot="1" x14ac:dyDescent="0.25">
      <c r="A50" s="193" t="s">
        <v>1256</v>
      </c>
      <c r="B50" s="87" t="s">
        <v>26</v>
      </c>
      <c r="G50" s="135">
        <v>-40</v>
      </c>
    </row>
    <row r="51" spans="1:7" ht="18" thickBot="1" x14ac:dyDescent="0.25">
      <c r="A51" s="193" t="s">
        <v>272</v>
      </c>
      <c r="B51" s="194"/>
      <c r="C51" s="210">
        <f>SUM(C20:C50)</f>
        <v>2203.333333333333</v>
      </c>
      <c r="D51" s="195">
        <f>SUM(D20:D50)</f>
        <v>130</v>
      </c>
      <c r="E51" s="210">
        <f>SUM(E20:E50)</f>
        <v>2128.333333333333</v>
      </c>
      <c r="F51" s="195">
        <f>SUM(F20:F50)</f>
        <v>473</v>
      </c>
      <c r="G51" s="195">
        <f>SUM(G20:G50)</f>
        <v>528</v>
      </c>
    </row>
    <row r="53" spans="1:7" ht="17" x14ac:dyDescent="0.2">
      <c r="A53" s="193" t="s">
        <v>975</v>
      </c>
    </row>
    <row r="54" spans="1:7" x14ac:dyDescent="0.2">
      <c r="A54" s="87" t="s">
        <v>1286</v>
      </c>
    </row>
    <row r="55" spans="1:7" x14ac:dyDescent="0.2">
      <c r="A55" s="87" t="s">
        <v>1240</v>
      </c>
    </row>
    <row r="56" spans="1:7" x14ac:dyDescent="0.2">
      <c r="A56" s="87" t="s">
        <v>1239</v>
      </c>
    </row>
    <row r="58" spans="1:7" x14ac:dyDescent="0.2">
      <c r="A58" s="87" t="s">
        <v>1243</v>
      </c>
    </row>
    <row r="59" spans="1:7" x14ac:dyDescent="0.2">
      <c r="A59" s="87" t="s">
        <v>1244</v>
      </c>
    </row>
    <row r="60" spans="1:7" x14ac:dyDescent="0.2">
      <c r="A60" s="87" t="s">
        <v>1245</v>
      </c>
    </row>
    <row r="62" spans="1:7" x14ac:dyDescent="0.2">
      <c r="A62" s="87" t="s">
        <v>1247</v>
      </c>
    </row>
    <row r="63" spans="1:7" x14ac:dyDescent="0.2">
      <c r="A63" s="87" t="s">
        <v>1248</v>
      </c>
    </row>
    <row r="64" spans="1:7" x14ac:dyDescent="0.2">
      <c r="A64" s="87" t="s">
        <v>1249</v>
      </c>
    </row>
    <row r="66" spans="1:8" x14ac:dyDescent="0.2">
      <c r="A66" s="87" t="s">
        <v>1257</v>
      </c>
    </row>
    <row r="67" spans="1:8" x14ac:dyDescent="0.2">
      <c r="A67" s="87" t="s">
        <v>1258</v>
      </c>
    </row>
    <row r="68" spans="1:8" x14ac:dyDescent="0.2">
      <c r="A68" s="87" t="s">
        <v>1419</v>
      </c>
    </row>
    <row r="70" spans="1:8" x14ac:dyDescent="0.2">
      <c r="A70" s="87" t="s">
        <v>1262</v>
      </c>
    </row>
    <row r="71" spans="1:8" x14ac:dyDescent="0.2">
      <c r="A71" s="87" t="s">
        <v>1259</v>
      </c>
    </row>
    <row r="72" spans="1:8" x14ac:dyDescent="0.2">
      <c r="A72" s="87" t="s">
        <v>1260</v>
      </c>
    </row>
    <row r="73" spans="1:8" x14ac:dyDescent="0.2">
      <c r="A73" s="87" t="s">
        <v>1261</v>
      </c>
    </row>
    <row r="74" spans="1:8" ht="17" thickBot="1" x14ac:dyDescent="0.25"/>
    <row r="75" spans="1:8" x14ac:dyDescent="0.2">
      <c r="A75" s="196" t="s">
        <v>195</v>
      </c>
      <c r="B75" s="197"/>
      <c r="C75" s="197"/>
      <c r="D75" s="197"/>
      <c r="E75" s="197"/>
      <c r="F75" s="197"/>
      <c r="G75" s="197"/>
      <c r="H75" s="198"/>
    </row>
    <row r="76" spans="1:8" x14ac:dyDescent="0.2">
      <c r="A76" s="199" t="s">
        <v>1263</v>
      </c>
      <c r="H76" s="200"/>
    </row>
    <row r="77" spans="1:8" x14ac:dyDescent="0.2">
      <c r="A77" s="199" t="s">
        <v>1264</v>
      </c>
      <c r="H77" s="200"/>
    </row>
    <row r="78" spans="1:8" x14ac:dyDescent="0.2">
      <c r="A78" s="199" t="s">
        <v>1265</v>
      </c>
      <c r="H78" s="200"/>
    </row>
    <row r="79" spans="1:8" x14ac:dyDescent="0.2">
      <c r="A79" s="199" t="s">
        <v>1266</v>
      </c>
      <c r="H79" s="200"/>
    </row>
    <row r="80" spans="1:8" ht="17" thickBot="1" x14ac:dyDescent="0.25">
      <c r="A80" s="201" t="s">
        <v>1267</v>
      </c>
      <c r="B80" s="202"/>
      <c r="C80" s="202"/>
      <c r="D80" s="202"/>
      <c r="E80" s="202"/>
      <c r="F80" s="202"/>
      <c r="G80" s="202"/>
      <c r="H80" s="203"/>
    </row>
    <row r="82" spans="1:8" x14ac:dyDescent="0.2">
      <c r="A82" s="204" t="s">
        <v>1287</v>
      </c>
      <c r="B82" s="205"/>
      <c r="C82" s="205"/>
      <c r="D82" s="205"/>
      <c r="E82" s="205"/>
      <c r="F82" s="205"/>
      <c r="G82" s="205"/>
      <c r="H82" s="205"/>
    </row>
    <row r="84" spans="1:8" x14ac:dyDescent="0.2">
      <c r="A84" s="87" t="s">
        <v>1282</v>
      </c>
    </row>
    <row r="86" spans="1:8" x14ac:dyDescent="0.2">
      <c r="A86" s="87" t="s">
        <v>1283</v>
      </c>
    </row>
    <row r="87" spans="1:8" x14ac:dyDescent="0.2">
      <c r="B87" s="87" t="s">
        <v>1284</v>
      </c>
      <c r="C87" s="6" t="s">
        <v>506</v>
      </c>
    </row>
    <row r="88" spans="1:8" x14ac:dyDescent="0.2">
      <c r="B88" s="87" t="s">
        <v>1285</v>
      </c>
      <c r="C88" s="6" t="s">
        <v>452</v>
      </c>
    </row>
    <row r="90" spans="1:8" x14ac:dyDescent="0.2">
      <c r="A90" s="87" t="s">
        <v>1281</v>
      </c>
    </row>
    <row r="91" spans="1:8" x14ac:dyDescent="0.2">
      <c r="A91" s="87" t="s">
        <v>1279</v>
      </c>
    </row>
    <row r="92" spans="1:8" x14ac:dyDescent="0.2">
      <c r="A92" s="87" t="s">
        <v>1280</v>
      </c>
    </row>
    <row r="94" spans="1:8" x14ac:dyDescent="0.2">
      <c r="A94" s="204" t="s">
        <v>1288</v>
      </c>
      <c r="B94" s="205"/>
      <c r="C94" s="205"/>
      <c r="D94" s="205"/>
      <c r="E94" s="205"/>
      <c r="F94" s="205"/>
      <c r="G94" s="205"/>
      <c r="H94" s="205"/>
    </row>
    <row r="96" spans="1:8" x14ac:dyDescent="0.2">
      <c r="A96" s="87" t="s">
        <v>1289</v>
      </c>
      <c r="C96" s="87" t="s">
        <v>1290</v>
      </c>
    </row>
    <row r="97" spans="1:8" x14ac:dyDescent="0.2">
      <c r="C97" s="87" t="s">
        <v>1291</v>
      </c>
    </row>
    <row r="98" spans="1:8" x14ac:dyDescent="0.2">
      <c r="C98" s="87" t="s">
        <v>1292</v>
      </c>
    </row>
    <row r="99" spans="1:8" x14ac:dyDescent="0.2">
      <c r="C99" s="87" t="s">
        <v>1293</v>
      </c>
    </row>
    <row r="100" spans="1:8" x14ac:dyDescent="0.2">
      <c r="C100" s="87" t="s">
        <v>1294</v>
      </c>
    </row>
    <row r="101" spans="1:8" x14ac:dyDescent="0.2">
      <c r="C101" s="87" t="s">
        <v>1295</v>
      </c>
      <c r="E101" s="87">
        <v>10</v>
      </c>
      <c r="F101" s="87" t="s">
        <v>1296</v>
      </c>
    </row>
    <row r="103" spans="1:8" x14ac:dyDescent="0.2">
      <c r="A103" s="87" t="s">
        <v>1298</v>
      </c>
      <c r="C103" s="87" t="s">
        <v>1299</v>
      </c>
      <c r="H103" s="87">
        <v>400</v>
      </c>
    </row>
    <row r="104" spans="1:8" x14ac:dyDescent="0.2">
      <c r="C104" s="87" t="s">
        <v>1300</v>
      </c>
      <c r="H104" s="87">
        <v>5</v>
      </c>
    </row>
    <row r="105" spans="1:8" x14ac:dyDescent="0.2">
      <c r="C105" s="87" t="s">
        <v>1301</v>
      </c>
      <c r="H105" s="87" t="s">
        <v>1010</v>
      </c>
    </row>
    <row r="106" spans="1:8" x14ac:dyDescent="0.2">
      <c r="C106" s="87" t="s">
        <v>1302</v>
      </c>
      <c r="H106" s="87">
        <v>0</v>
      </c>
    </row>
    <row r="107" spans="1:8" x14ac:dyDescent="0.2">
      <c r="C107" s="87" t="s">
        <v>1304</v>
      </c>
      <c r="H107" s="87" t="s">
        <v>1303</v>
      </c>
    </row>
    <row r="109" spans="1:8" x14ac:dyDescent="0.2">
      <c r="C109" s="87" t="s">
        <v>1305</v>
      </c>
    </row>
    <row r="111" spans="1:8" x14ac:dyDescent="0.2">
      <c r="F111" s="206">
        <f>400/5*4/12</f>
        <v>26.666666666666668</v>
      </c>
      <c r="H111" s="54" t="s">
        <v>1306</v>
      </c>
    </row>
    <row r="113" spans="1:8" x14ac:dyDescent="0.2">
      <c r="C113" s="87" t="s">
        <v>1307</v>
      </c>
    </row>
    <row r="114" spans="1:8" x14ac:dyDescent="0.2">
      <c r="C114" s="87" t="s">
        <v>1308</v>
      </c>
    </row>
    <row r="115" spans="1:8" x14ac:dyDescent="0.2">
      <c r="C115" s="87" t="s">
        <v>1309</v>
      </c>
    </row>
    <row r="116" spans="1:8" x14ac:dyDescent="0.2">
      <c r="C116" s="87" t="s">
        <v>1310</v>
      </c>
    </row>
    <row r="118" spans="1:8" x14ac:dyDescent="0.2">
      <c r="A118" s="87" t="s">
        <v>1311</v>
      </c>
      <c r="C118" s="87" t="s">
        <v>1312</v>
      </c>
    </row>
    <row r="119" spans="1:8" x14ac:dyDescent="0.2">
      <c r="C119" s="87" t="s">
        <v>1313</v>
      </c>
    </row>
    <row r="120" spans="1:8" x14ac:dyDescent="0.2">
      <c r="C120" s="87" t="s">
        <v>1314</v>
      </c>
    </row>
    <row r="122" spans="1:8" x14ac:dyDescent="0.2">
      <c r="C122" s="87" t="s">
        <v>1315</v>
      </c>
      <c r="D122" s="87">
        <v>40</v>
      </c>
      <c r="F122" s="87" t="s">
        <v>1316</v>
      </c>
    </row>
    <row r="123" spans="1:8" x14ac:dyDescent="0.2">
      <c r="F123" s="87" t="s">
        <v>1317</v>
      </c>
      <c r="H123" s="87">
        <v>55</v>
      </c>
    </row>
    <row r="124" spans="1:8" x14ac:dyDescent="0.2">
      <c r="F124" s="87" t="s">
        <v>628</v>
      </c>
      <c r="H124" s="87">
        <f>-1-3</f>
        <v>-4</v>
      </c>
    </row>
    <row r="125" spans="1:8" ht="17" thickBot="1" x14ac:dyDescent="0.25">
      <c r="F125" s="87" t="s">
        <v>629</v>
      </c>
      <c r="H125" s="87">
        <f>-6</f>
        <v>-6</v>
      </c>
    </row>
    <row r="126" spans="1:8" ht="17" thickBot="1" x14ac:dyDescent="0.25">
      <c r="F126" s="87" t="s">
        <v>1316</v>
      </c>
      <c r="H126" s="208">
        <f>H123+H124+H125</f>
        <v>45</v>
      </c>
    </row>
    <row r="128" spans="1:8" x14ac:dyDescent="0.2">
      <c r="C128" s="87" t="s">
        <v>1318</v>
      </c>
    </row>
    <row r="129" spans="1:7" x14ac:dyDescent="0.2">
      <c r="C129" s="87" t="s">
        <v>1319</v>
      </c>
    </row>
    <row r="130" spans="1:7" x14ac:dyDescent="0.2">
      <c r="C130" s="87" t="s">
        <v>1320</v>
      </c>
    </row>
    <row r="131" spans="1:7" x14ac:dyDescent="0.2">
      <c r="C131" s="87" t="s">
        <v>1321</v>
      </c>
    </row>
    <row r="132" spans="1:7" x14ac:dyDescent="0.2">
      <c r="C132" s="87" t="s">
        <v>1322</v>
      </c>
    </row>
    <row r="133" spans="1:7" x14ac:dyDescent="0.2">
      <c r="C133" s="87" t="s">
        <v>1323</v>
      </c>
    </row>
    <row r="134" spans="1:7" x14ac:dyDescent="0.2">
      <c r="C134" s="87" t="s">
        <v>1324</v>
      </c>
    </row>
    <row r="136" spans="1:7" x14ac:dyDescent="0.2">
      <c r="C136" s="189" t="s">
        <v>1325</v>
      </c>
    </row>
    <row r="137" spans="1:7" x14ac:dyDescent="0.2">
      <c r="C137" s="87" t="s">
        <v>1326</v>
      </c>
    </row>
    <row r="139" spans="1:7" x14ac:dyDescent="0.2">
      <c r="C139" s="87" t="s">
        <v>1327</v>
      </c>
      <c r="E139" s="87">
        <f>D122</f>
        <v>40</v>
      </c>
    </row>
    <row r="140" spans="1:7" ht="17" thickBot="1" x14ac:dyDescent="0.25">
      <c r="C140" s="87" t="s">
        <v>1328</v>
      </c>
      <c r="E140" s="45">
        <v>1000</v>
      </c>
    </row>
    <row r="141" spans="1:7" ht="17" thickBot="1" x14ac:dyDescent="0.25">
      <c r="C141" s="87" t="s">
        <v>1329</v>
      </c>
      <c r="E141" s="209">
        <f>E139*E140</f>
        <v>40000</v>
      </c>
      <c r="G141" s="87" t="s">
        <v>1330</v>
      </c>
    </row>
    <row r="143" spans="1:7" x14ac:dyDescent="0.2">
      <c r="A143" s="189" t="s">
        <v>1331</v>
      </c>
      <c r="C143" s="87" t="s">
        <v>1332</v>
      </c>
    </row>
    <row r="145" spans="3:7" x14ac:dyDescent="0.2">
      <c r="C145" s="87" t="s">
        <v>6</v>
      </c>
      <c r="D145" s="87">
        <v>2203.3330000000001</v>
      </c>
    </row>
    <row r="146" spans="3:7" x14ac:dyDescent="0.2">
      <c r="C146" s="87" t="s">
        <v>7</v>
      </c>
      <c r="D146" s="87">
        <v>130</v>
      </c>
    </row>
    <row r="147" spans="3:7" x14ac:dyDescent="0.2">
      <c r="C147" s="87" t="s">
        <v>124</v>
      </c>
      <c r="D147" s="87" t="s">
        <v>1333</v>
      </c>
      <c r="E147" s="87" t="s">
        <v>1334</v>
      </c>
    </row>
    <row r="148" spans="3:7" x14ac:dyDescent="0.2">
      <c r="C148" s="87" t="s">
        <v>4</v>
      </c>
      <c r="D148" s="87">
        <v>473</v>
      </c>
    </row>
    <row r="149" spans="3:7" x14ac:dyDescent="0.2">
      <c r="C149" s="87" t="s">
        <v>5</v>
      </c>
      <c r="D149" s="87">
        <v>528</v>
      </c>
    </row>
    <row r="151" spans="3:7" x14ac:dyDescent="0.2">
      <c r="C151" s="87" t="s">
        <v>1335</v>
      </c>
    </row>
    <row r="153" spans="3:7" x14ac:dyDescent="0.2">
      <c r="C153" s="87" t="s">
        <v>1336</v>
      </c>
    </row>
    <row r="155" spans="3:7" x14ac:dyDescent="0.2">
      <c r="C155" s="87" t="s">
        <v>1337</v>
      </c>
    </row>
    <row r="157" spans="3:7" x14ac:dyDescent="0.2">
      <c r="F157" s="87" t="s">
        <v>1338</v>
      </c>
    </row>
    <row r="158" spans="3:7" x14ac:dyDescent="0.2">
      <c r="F158" s="211">
        <f>2203.333-130-80-(473-528)</f>
        <v>2048.3330000000001</v>
      </c>
      <c r="G158" s="87" t="s">
        <v>1051</v>
      </c>
    </row>
    <row r="161" spans="1:8" x14ac:dyDescent="0.2">
      <c r="A161" s="213" t="s">
        <v>1339</v>
      </c>
      <c r="B161" s="211"/>
      <c r="C161" s="211"/>
      <c r="D161" s="211"/>
      <c r="E161" s="211"/>
      <c r="F161" s="211"/>
      <c r="G161" s="211"/>
      <c r="H161" s="211"/>
    </row>
    <row r="162" spans="1:8" x14ac:dyDescent="0.2">
      <c r="A162" s="87" t="s">
        <v>1340</v>
      </c>
    </row>
    <row r="163" spans="1:8" ht="17" thickBot="1" x14ac:dyDescent="0.25"/>
    <row r="164" spans="1:8" x14ac:dyDescent="0.2">
      <c r="A164" s="196" t="s">
        <v>1286</v>
      </c>
      <c r="B164" s="197"/>
      <c r="C164" s="197"/>
      <c r="D164" s="197"/>
      <c r="E164" s="197"/>
      <c r="F164" s="197"/>
      <c r="G164" s="197"/>
      <c r="H164" s="198"/>
    </row>
    <row r="165" spans="1:8" x14ac:dyDescent="0.2">
      <c r="A165" s="223" t="s">
        <v>1240</v>
      </c>
      <c r="H165" s="200"/>
    </row>
    <row r="166" spans="1:8" ht="17" thickBot="1" x14ac:dyDescent="0.25">
      <c r="A166" s="224" t="s">
        <v>1239</v>
      </c>
      <c r="B166" s="202"/>
      <c r="C166" s="202"/>
      <c r="D166" s="202"/>
      <c r="E166" s="202"/>
      <c r="F166" s="202"/>
      <c r="G166" s="202"/>
      <c r="H166" s="203"/>
    </row>
    <row r="168" spans="1:8" x14ac:dyDescent="0.2">
      <c r="A168" s="87" t="s">
        <v>1341</v>
      </c>
    </row>
    <row r="170" spans="1:8" x14ac:dyDescent="0.2">
      <c r="A170" s="87" t="s">
        <v>1346</v>
      </c>
      <c r="B170" s="87" t="s">
        <v>1342</v>
      </c>
      <c r="D170" s="6" t="s">
        <v>1344</v>
      </c>
      <c r="E170" s="87" t="s">
        <v>1345</v>
      </c>
    </row>
    <row r="171" spans="1:8" x14ac:dyDescent="0.2">
      <c r="B171" s="87" t="s">
        <v>1343</v>
      </c>
      <c r="D171" s="6" t="s">
        <v>1344</v>
      </c>
      <c r="E171" s="87" t="s">
        <v>1361</v>
      </c>
    </row>
    <row r="173" spans="1:8" x14ac:dyDescent="0.2">
      <c r="A173" s="87" t="s">
        <v>1347</v>
      </c>
      <c r="B173" s="87" t="s">
        <v>1348</v>
      </c>
    </row>
    <row r="174" spans="1:8" x14ac:dyDescent="0.2">
      <c r="B174" s="87" t="s">
        <v>1349</v>
      </c>
    </row>
    <row r="175" spans="1:8" x14ac:dyDescent="0.2">
      <c r="B175" s="87" t="s">
        <v>1350</v>
      </c>
    </row>
    <row r="176" spans="1:8" x14ac:dyDescent="0.2">
      <c r="B176" s="87" t="s">
        <v>1351</v>
      </c>
    </row>
    <row r="177" spans="1:8" ht="17" thickBot="1" x14ac:dyDescent="0.25"/>
    <row r="178" spans="1:8" x14ac:dyDescent="0.2">
      <c r="B178" s="214" t="s">
        <v>1352</v>
      </c>
      <c r="C178" s="215"/>
      <c r="D178" s="216" t="s">
        <v>1344</v>
      </c>
      <c r="E178" s="215" t="s">
        <v>1353</v>
      </c>
      <c r="F178" s="215"/>
      <c r="G178" s="215"/>
      <c r="H178" s="217"/>
    </row>
    <row r="179" spans="1:8" ht="17" thickBot="1" x14ac:dyDescent="0.25">
      <c r="B179" s="218" t="s">
        <v>1354</v>
      </c>
      <c r="C179" s="219"/>
      <c r="D179" s="220" t="s">
        <v>1344</v>
      </c>
      <c r="E179" s="219" t="s">
        <v>1355</v>
      </c>
      <c r="F179" s="219"/>
      <c r="G179" s="219"/>
      <c r="H179" s="221"/>
    </row>
    <row r="181" spans="1:8" x14ac:dyDescent="0.2">
      <c r="B181" s="87" t="s">
        <v>1356</v>
      </c>
    </row>
    <row r="182" spans="1:8" x14ac:dyDescent="0.2">
      <c r="B182" s="87" t="s">
        <v>1357</v>
      </c>
    </row>
    <row r="183" spans="1:8" ht="17" thickBot="1" x14ac:dyDescent="0.25"/>
    <row r="184" spans="1:8" x14ac:dyDescent="0.2">
      <c r="A184" s="196" t="s">
        <v>1243</v>
      </c>
      <c r="B184" s="197"/>
      <c r="C184" s="197"/>
      <c r="D184" s="197"/>
      <c r="E184" s="197"/>
      <c r="F184" s="197"/>
      <c r="G184" s="197"/>
      <c r="H184" s="198"/>
    </row>
    <row r="185" spans="1:8" x14ac:dyDescent="0.2">
      <c r="A185" s="199" t="s">
        <v>1244</v>
      </c>
      <c r="H185" s="200"/>
    </row>
    <row r="186" spans="1:8" ht="17" thickBot="1" x14ac:dyDescent="0.25">
      <c r="A186" s="201" t="s">
        <v>1245</v>
      </c>
      <c r="B186" s="202"/>
      <c r="C186" s="202"/>
      <c r="D186" s="202"/>
      <c r="E186" s="202"/>
      <c r="F186" s="202"/>
      <c r="G186" s="202"/>
      <c r="H186" s="203"/>
    </row>
    <row r="188" spans="1:8" x14ac:dyDescent="0.2">
      <c r="B188" s="87" t="s">
        <v>1362</v>
      </c>
    </row>
    <row r="189" spans="1:8" x14ac:dyDescent="0.2">
      <c r="B189" s="87" t="s">
        <v>1363</v>
      </c>
    </row>
    <row r="191" spans="1:8" x14ac:dyDescent="0.2">
      <c r="B191" s="87" t="s">
        <v>1365</v>
      </c>
    </row>
    <row r="192" spans="1:8" x14ac:dyDescent="0.2">
      <c r="B192" s="87" t="s">
        <v>1366</v>
      </c>
    </row>
    <row r="193" spans="1:8" x14ac:dyDescent="0.2">
      <c r="E193" s="87">
        <v>80</v>
      </c>
      <c r="G193" s="87" t="s">
        <v>1364</v>
      </c>
    </row>
    <row r="194" spans="1:8" ht="17" thickBot="1" x14ac:dyDescent="0.25"/>
    <row r="195" spans="1:8" x14ac:dyDescent="0.2">
      <c r="A195" s="87" t="s">
        <v>1367</v>
      </c>
      <c r="B195" s="214" t="s">
        <v>1368</v>
      </c>
      <c r="C195" s="215"/>
      <c r="D195" s="215">
        <f>E193</f>
        <v>80</v>
      </c>
      <c r="E195" s="215" t="s">
        <v>1370</v>
      </c>
      <c r="F195" s="215"/>
      <c r="G195" s="215"/>
      <c r="H195" s="217"/>
    </row>
    <row r="196" spans="1:8" ht="17" thickBot="1" x14ac:dyDescent="0.25">
      <c r="B196" s="218" t="s">
        <v>1369</v>
      </c>
      <c r="C196" s="219"/>
      <c r="D196" s="219">
        <f>D195</f>
        <v>80</v>
      </c>
      <c r="E196" s="219" t="s">
        <v>1371</v>
      </c>
      <c r="F196" s="219"/>
      <c r="G196" s="219"/>
      <c r="H196" s="221"/>
    </row>
    <row r="198" spans="1:8" x14ac:dyDescent="0.2">
      <c r="B198" s="87" t="s">
        <v>1374</v>
      </c>
    </row>
    <row r="199" spans="1:8" x14ac:dyDescent="0.2">
      <c r="B199" s="87" t="s">
        <v>1375</v>
      </c>
    </row>
    <row r="200" spans="1:8" x14ac:dyDescent="0.2">
      <c r="B200" s="87" t="s">
        <v>1376</v>
      </c>
    </row>
    <row r="202" spans="1:8" x14ac:dyDescent="0.2">
      <c r="B202" s="87" t="s">
        <v>1377</v>
      </c>
      <c r="D202" s="6">
        <v>26.667000000000002</v>
      </c>
    </row>
    <row r="203" spans="1:8" ht="17" thickBot="1" x14ac:dyDescent="0.25">
      <c r="B203" s="87" t="s">
        <v>1378</v>
      </c>
      <c r="D203" s="6">
        <f>D196</f>
        <v>80</v>
      </c>
    </row>
    <row r="204" spans="1:8" ht="17" thickBot="1" x14ac:dyDescent="0.25">
      <c r="B204" s="87" t="s">
        <v>1379</v>
      </c>
      <c r="D204" s="17">
        <f>D202+D203</f>
        <v>106.667</v>
      </c>
      <c r="E204" s="87" t="s">
        <v>1380</v>
      </c>
      <c r="F204" s="87" t="s">
        <v>1381</v>
      </c>
    </row>
    <row r="205" spans="1:8" ht="17" thickBot="1" x14ac:dyDescent="0.25">
      <c r="D205" s="6"/>
    </row>
    <row r="206" spans="1:8" x14ac:dyDescent="0.2">
      <c r="A206" s="196" t="s">
        <v>1247</v>
      </c>
      <c r="B206" s="197"/>
      <c r="C206" s="197"/>
      <c r="D206" s="197"/>
      <c r="E206" s="197"/>
      <c r="F206" s="197"/>
      <c r="G206" s="197"/>
      <c r="H206" s="198"/>
    </row>
    <row r="207" spans="1:8" x14ac:dyDescent="0.2">
      <c r="A207" s="199" t="s">
        <v>1248</v>
      </c>
      <c r="H207" s="200"/>
    </row>
    <row r="208" spans="1:8" ht="17" thickBot="1" x14ac:dyDescent="0.25">
      <c r="A208" s="201" t="s">
        <v>1249</v>
      </c>
      <c r="B208" s="202"/>
      <c r="C208" s="202"/>
      <c r="D208" s="202"/>
      <c r="E208" s="202"/>
      <c r="F208" s="202"/>
      <c r="G208" s="202"/>
      <c r="H208" s="203"/>
    </row>
    <row r="209" spans="1:8" x14ac:dyDescent="0.2">
      <c r="D209" s="6"/>
    </row>
    <row r="210" spans="1:8" x14ac:dyDescent="0.2">
      <c r="B210" s="87" t="s">
        <v>1382</v>
      </c>
      <c r="D210" s="6"/>
      <c r="F210" s="87" t="s">
        <v>1383</v>
      </c>
    </row>
    <row r="211" spans="1:8" x14ac:dyDescent="0.2">
      <c r="D211" s="6"/>
    </row>
    <row r="212" spans="1:8" x14ac:dyDescent="0.2">
      <c r="B212" s="87" t="s">
        <v>1384</v>
      </c>
      <c r="D212" s="6"/>
    </row>
    <row r="213" spans="1:8" x14ac:dyDescent="0.2">
      <c r="D213" s="6"/>
    </row>
    <row r="214" spans="1:8" x14ac:dyDescent="0.2">
      <c r="B214" s="87" t="s">
        <v>1385</v>
      </c>
      <c r="D214" s="6"/>
    </row>
    <row r="215" spans="1:8" x14ac:dyDescent="0.2">
      <c r="D215" s="6"/>
    </row>
    <row r="216" spans="1:8" x14ac:dyDescent="0.2">
      <c r="B216" s="87" t="s">
        <v>1386</v>
      </c>
      <c r="D216" s="6"/>
      <c r="F216" s="206">
        <f>700/3*4/12</f>
        <v>77.777777777777786</v>
      </c>
      <c r="G216" s="87" t="s">
        <v>1387</v>
      </c>
    </row>
    <row r="217" spans="1:8" ht="17" thickBot="1" x14ac:dyDescent="0.25">
      <c r="D217" s="6"/>
    </row>
    <row r="218" spans="1:8" x14ac:dyDescent="0.2">
      <c r="A218" s="87" t="s">
        <v>1367</v>
      </c>
      <c r="B218" s="214" t="s">
        <v>1368</v>
      </c>
      <c r="C218" s="215"/>
      <c r="D218" s="228">
        <f>F216</f>
        <v>77.777777777777786</v>
      </c>
      <c r="E218" s="215" t="s">
        <v>1370</v>
      </c>
      <c r="F218" s="215"/>
      <c r="G218" s="215"/>
      <c r="H218" s="217"/>
    </row>
    <row r="219" spans="1:8" ht="17" thickBot="1" x14ac:dyDescent="0.25">
      <c r="B219" s="218" t="s">
        <v>1388</v>
      </c>
      <c r="C219" s="219"/>
      <c r="D219" s="229">
        <f>D218</f>
        <v>77.777777777777786</v>
      </c>
      <c r="E219" s="219" t="s">
        <v>1371</v>
      </c>
      <c r="F219" s="219"/>
      <c r="G219" s="219"/>
      <c r="H219" s="221"/>
    </row>
    <row r="220" spans="1:8" x14ac:dyDescent="0.2">
      <c r="D220" s="6"/>
    </row>
    <row r="221" spans="1:8" x14ac:dyDescent="0.2">
      <c r="B221" s="189" t="s">
        <v>1391</v>
      </c>
      <c r="D221" s="6"/>
    </row>
    <row r="222" spans="1:8" x14ac:dyDescent="0.2">
      <c r="B222" s="87" t="s">
        <v>1392</v>
      </c>
      <c r="D222" s="6"/>
    </row>
    <row r="223" spans="1:8" x14ac:dyDescent="0.2">
      <c r="B223" s="87" t="s">
        <v>1393</v>
      </c>
      <c r="D223" s="6"/>
    </row>
    <row r="224" spans="1:8" x14ac:dyDescent="0.2">
      <c r="B224" s="87" t="s">
        <v>1394</v>
      </c>
      <c r="D224" s="6">
        <v>7</v>
      </c>
      <c r="E224" s="87" t="s">
        <v>1000</v>
      </c>
    </row>
    <row r="225" spans="1:8" x14ac:dyDescent="0.2">
      <c r="D225" s="6"/>
    </row>
    <row r="226" spans="1:8" x14ac:dyDescent="0.2">
      <c r="B226" s="87" t="s">
        <v>1395</v>
      </c>
      <c r="D226" s="231">
        <f>7/3*4/12</f>
        <v>0.77777777777777779</v>
      </c>
      <c r="G226" s="87" t="s">
        <v>1396</v>
      </c>
    </row>
    <row r="227" spans="1:8" ht="17" thickBot="1" x14ac:dyDescent="0.25">
      <c r="D227" s="6"/>
    </row>
    <row r="228" spans="1:8" ht="17" thickBot="1" x14ac:dyDescent="0.25">
      <c r="B228" s="87" t="s">
        <v>1397</v>
      </c>
      <c r="D228" s="17">
        <f>7-0.778</f>
        <v>6.2219999999999995</v>
      </c>
      <c r="E228" s="87" t="s">
        <v>1398</v>
      </c>
    </row>
    <row r="229" spans="1:8" x14ac:dyDescent="0.2">
      <c r="D229" s="6"/>
    </row>
    <row r="230" spans="1:8" x14ac:dyDescent="0.2">
      <c r="A230" s="87" t="s">
        <v>1404</v>
      </c>
      <c r="B230" s="87" t="s">
        <v>1399</v>
      </c>
      <c r="D230" s="6">
        <f>D232+D231</f>
        <v>7.2219999999999995</v>
      </c>
      <c r="E230" s="87" t="s">
        <v>1403</v>
      </c>
    </row>
    <row r="231" spans="1:8" ht="17" thickBot="1" x14ac:dyDescent="0.25">
      <c r="B231" s="87" t="s">
        <v>1400</v>
      </c>
      <c r="D231" s="6">
        <f>D228</f>
        <v>6.2219999999999995</v>
      </c>
      <c r="E231" s="87" t="s">
        <v>1402</v>
      </c>
    </row>
    <row r="232" spans="1:8" ht="17" thickBot="1" x14ac:dyDescent="0.25">
      <c r="B232" s="87" t="s">
        <v>741</v>
      </c>
      <c r="D232" s="17">
        <v>1</v>
      </c>
      <c r="E232" s="87" t="s">
        <v>1401</v>
      </c>
    </row>
    <row r="233" spans="1:8" ht="17" thickBot="1" x14ac:dyDescent="0.25">
      <c r="D233" s="6"/>
    </row>
    <row r="234" spans="1:8" x14ac:dyDescent="0.2">
      <c r="A234" s="87" t="s">
        <v>1411</v>
      </c>
      <c r="B234" s="214" t="s">
        <v>1405</v>
      </c>
      <c r="C234" s="215"/>
      <c r="D234" s="216">
        <f>D230</f>
        <v>7.2219999999999995</v>
      </c>
      <c r="E234" s="215" t="s">
        <v>1406</v>
      </c>
      <c r="F234" s="215"/>
      <c r="G234" s="215"/>
      <c r="H234" s="217"/>
    </row>
    <row r="235" spans="1:8" x14ac:dyDescent="0.2">
      <c r="A235" s="87" t="s">
        <v>1412</v>
      </c>
      <c r="B235" s="232" t="s">
        <v>1407</v>
      </c>
      <c r="C235" s="225"/>
      <c r="D235" s="46">
        <v>7</v>
      </c>
      <c r="E235" s="225" t="s">
        <v>1408</v>
      </c>
      <c r="F235" s="225"/>
      <c r="G235" s="225"/>
      <c r="H235" s="233"/>
    </row>
    <row r="236" spans="1:8" x14ac:dyDescent="0.2">
      <c r="A236" s="87" t="s">
        <v>1413</v>
      </c>
      <c r="B236" s="232" t="s">
        <v>1409</v>
      </c>
      <c r="C236" s="225"/>
      <c r="D236" s="234">
        <f>D226</f>
        <v>0.77777777777777779</v>
      </c>
      <c r="E236" s="225" t="s">
        <v>1410</v>
      </c>
      <c r="F236" s="225"/>
      <c r="G236" s="225"/>
      <c r="H236" s="233"/>
    </row>
    <row r="237" spans="1:8" ht="17" thickBot="1" x14ac:dyDescent="0.25">
      <c r="A237" s="87" t="s">
        <v>1414</v>
      </c>
      <c r="B237" s="218" t="s">
        <v>1415</v>
      </c>
      <c r="C237" s="219"/>
      <c r="D237" s="220">
        <f>D232</f>
        <v>1</v>
      </c>
      <c r="E237" s="219" t="s">
        <v>1416</v>
      </c>
      <c r="F237" s="219"/>
      <c r="G237" s="219"/>
      <c r="H237" s="221"/>
    </row>
    <row r="238" spans="1:8" x14ac:dyDescent="0.2">
      <c r="B238" s="225"/>
      <c r="C238" s="225"/>
      <c r="D238" s="46"/>
      <c r="E238" s="225"/>
      <c r="F238" s="225"/>
      <c r="G238" s="225"/>
      <c r="H238" s="225"/>
    </row>
    <row r="239" spans="1:8" ht="17" thickBot="1" x14ac:dyDescent="0.25">
      <c r="D239" s="6"/>
    </row>
    <row r="240" spans="1:8" x14ac:dyDescent="0.2">
      <c r="A240" s="196" t="s">
        <v>1257</v>
      </c>
      <c r="B240" s="197"/>
      <c r="C240" s="197"/>
      <c r="D240" s="197"/>
      <c r="E240" s="197"/>
      <c r="F240" s="197"/>
      <c r="G240" s="197"/>
      <c r="H240" s="198"/>
    </row>
    <row r="241" spans="1:10" x14ac:dyDescent="0.2">
      <c r="A241" s="199" t="s">
        <v>1258</v>
      </c>
      <c r="H241" s="200"/>
    </row>
    <row r="242" spans="1:10" ht="17" thickBot="1" x14ac:dyDescent="0.25">
      <c r="A242" s="201" t="s">
        <v>1418</v>
      </c>
      <c r="B242" s="202"/>
      <c r="C242" s="202"/>
      <c r="D242" s="202"/>
      <c r="E242" s="202"/>
      <c r="F242" s="202"/>
      <c r="G242" s="202"/>
      <c r="H242" s="203"/>
    </row>
    <row r="243" spans="1:10" x14ac:dyDescent="0.2">
      <c r="D243" s="6"/>
    </row>
    <row r="244" spans="1:10" x14ac:dyDescent="0.2">
      <c r="B244" s="87" t="s">
        <v>1420</v>
      </c>
      <c r="D244" s="6"/>
    </row>
    <row r="245" spans="1:10" x14ac:dyDescent="0.2">
      <c r="B245" s="87" t="s">
        <v>1421</v>
      </c>
      <c r="D245" s="6"/>
    </row>
    <row r="246" spans="1:10" x14ac:dyDescent="0.2">
      <c r="D246" s="6"/>
    </row>
    <row r="247" spans="1:10" x14ac:dyDescent="0.2">
      <c r="B247" s="87" t="s">
        <v>1422</v>
      </c>
      <c r="D247" s="45">
        <v>50000</v>
      </c>
    </row>
    <row r="248" spans="1:10" x14ac:dyDescent="0.2">
      <c r="B248" s="87" t="s">
        <v>1426</v>
      </c>
      <c r="D248" s="45">
        <v>50000</v>
      </c>
    </row>
    <row r="249" spans="1:10" x14ac:dyDescent="0.2">
      <c r="D249" s="6"/>
    </row>
    <row r="250" spans="1:10" x14ac:dyDescent="0.2">
      <c r="B250" s="87" t="s">
        <v>1423</v>
      </c>
      <c r="D250" s="6"/>
    </row>
    <row r="251" spans="1:10" x14ac:dyDescent="0.2">
      <c r="B251" s="87" t="s">
        <v>1424</v>
      </c>
      <c r="D251" s="6"/>
    </row>
    <row r="252" spans="1:10" x14ac:dyDescent="0.2">
      <c r="D252" s="6"/>
    </row>
    <row r="253" spans="1:10" x14ac:dyDescent="0.2">
      <c r="D253" s="6"/>
    </row>
    <row r="255" spans="1:10" x14ac:dyDescent="0.2">
      <c r="A255" s="189" t="s">
        <v>1358</v>
      </c>
      <c r="J255" s="189" t="s">
        <v>1428</v>
      </c>
    </row>
    <row r="257" spans="1:14" x14ac:dyDescent="0.2">
      <c r="A257" s="192" t="s">
        <v>9</v>
      </c>
      <c r="B257" s="192" t="s">
        <v>1360</v>
      </c>
      <c r="C257" s="192" t="s">
        <v>6</v>
      </c>
      <c r="D257" s="192" t="s">
        <v>7</v>
      </c>
      <c r="E257" s="192" t="s">
        <v>124</v>
      </c>
      <c r="F257" s="192" t="s">
        <v>4</v>
      </c>
      <c r="G257" s="192" t="s">
        <v>5</v>
      </c>
      <c r="J257" s="236" t="s">
        <v>1429</v>
      </c>
    </row>
    <row r="258" spans="1:14" x14ac:dyDescent="0.2">
      <c r="A258" s="87" t="s">
        <v>1238</v>
      </c>
      <c r="B258" s="87">
        <v>200</v>
      </c>
      <c r="C258" s="87">
        <v>200</v>
      </c>
      <c r="J258" s="236"/>
    </row>
    <row r="259" spans="1:14" x14ac:dyDescent="0.2">
      <c r="A259" s="87" t="s">
        <v>1237</v>
      </c>
      <c r="B259" s="87">
        <v>72</v>
      </c>
      <c r="G259" s="168">
        <f>72-10</f>
        <v>62</v>
      </c>
      <c r="J259" s="87" t="s">
        <v>68</v>
      </c>
      <c r="L259" s="44">
        <f>F262+F285+F286</f>
        <v>431</v>
      </c>
    </row>
    <row r="260" spans="1:14" x14ac:dyDescent="0.2">
      <c r="A260" s="87" t="s">
        <v>14</v>
      </c>
      <c r="B260" s="87">
        <v>400</v>
      </c>
      <c r="C260" s="87">
        <v>400</v>
      </c>
      <c r="J260" s="87" t="s">
        <v>95</v>
      </c>
      <c r="L260" s="44">
        <f>-(G268+G273+G269+G288)</f>
        <v>-180</v>
      </c>
    </row>
    <row r="261" spans="1:14" x14ac:dyDescent="0.2">
      <c r="A261" s="87" t="s">
        <v>12</v>
      </c>
      <c r="B261" s="87">
        <v>150</v>
      </c>
      <c r="C261" s="168">
        <f>150+7.222</f>
        <v>157.22200000000001</v>
      </c>
      <c r="J261" s="87" t="s">
        <v>71</v>
      </c>
      <c r="L261" s="134">
        <f>L259+L260</f>
        <v>251</v>
      </c>
    </row>
    <row r="262" spans="1:14" x14ac:dyDescent="0.2">
      <c r="A262" s="87" t="s">
        <v>68</v>
      </c>
      <c r="B262" s="87">
        <v>500</v>
      </c>
      <c r="F262" s="87">
        <v>500</v>
      </c>
      <c r="J262" s="87" t="s">
        <v>1185</v>
      </c>
      <c r="L262" s="44">
        <f>-(G282+G280)</f>
        <v>-72</v>
      </c>
    </row>
    <row r="263" spans="1:14" ht="17" x14ac:dyDescent="0.2">
      <c r="A263" s="193" t="s">
        <v>1144</v>
      </c>
      <c r="B263" s="87">
        <v>100</v>
      </c>
      <c r="C263" s="87">
        <v>100</v>
      </c>
      <c r="J263" s="87" t="s">
        <v>1186</v>
      </c>
      <c r="L263" s="237">
        <f>-(G259+G281+G283+G284+G289+G290)</f>
        <v>-343.77777777777777</v>
      </c>
    </row>
    <row r="264" spans="1:14" x14ac:dyDescent="0.2">
      <c r="A264" s="87" t="s">
        <v>16</v>
      </c>
      <c r="B264" s="87">
        <v>50</v>
      </c>
      <c r="D264" s="87">
        <v>50</v>
      </c>
      <c r="J264" s="87" t="s">
        <v>1437</v>
      </c>
      <c r="L264" s="6">
        <f>F294+F292</f>
        <v>51</v>
      </c>
    </row>
    <row r="265" spans="1:14" ht="17" customHeight="1" x14ac:dyDescent="0.2">
      <c r="A265" s="193" t="s">
        <v>1359</v>
      </c>
      <c r="B265" s="87" t="s">
        <v>26</v>
      </c>
      <c r="D265" s="222">
        <v>0</v>
      </c>
      <c r="J265" s="87" t="s">
        <v>1228</v>
      </c>
      <c r="L265" s="238">
        <f>SUM(L261:L264)</f>
        <v>-113.77777777777777</v>
      </c>
    </row>
    <row r="266" spans="1:14" ht="17" x14ac:dyDescent="0.2">
      <c r="A266" s="193" t="s">
        <v>22</v>
      </c>
      <c r="B266" s="87">
        <v>70</v>
      </c>
      <c r="D266" s="87">
        <v>70</v>
      </c>
      <c r="J266" s="87" t="s">
        <v>1188</v>
      </c>
      <c r="L266" s="44">
        <f>-(G278)</f>
        <v>-80</v>
      </c>
    </row>
    <row r="267" spans="1:14" x14ac:dyDescent="0.2">
      <c r="A267" s="87" t="s">
        <v>24</v>
      </c>
      <c r="B267" s="87">
        <v>80</v>
      </c>
      <c r="E267" s="87">
        <v>80</v>
      </c>
      <c r="J267" s="87" t="s">
        <v>1189</v>
      </c>
      <c r="L267" s="44">
        <f>F274+F279</f>
        <v>42</v>
      </c>
    </row>
    <row r="268" spans="1:14" x14ac:dyDescent="0.2">
      <c r="A268" s="87" t="s">
        <v>259</v>
      </c>
      <c r="B268" s="87">
        <v>150</v>
      </c>
      <c r="G268" s="87">
        <v>150</v>
      </c>
      <c r="J268" s="87" t="s">
        <v>1229</v>
      </c>
      <c r="L268" s="238">
        <f>L265+L266+L267</f>
        <v>-151.77777777777777</v>
      </c>
    </row>
    <row r="269" spans="1:14" x14ac:dyDescent="0.2">
      <c r="A269" s="87" t="s">
        <v>1278</v>
      </c>
      <c r="B269" s="87">
        <v>90</v>
      </c>
      <c r="G269" s="87">
        <v>90</v>
      </c>
    </row>
    <row r="270" spans="1:14" x14ac:dyDescent="0.2">
      <c r="A270" s="87" t="s">
        <v>1297</v>
      </c>
      <c r="B270" s="87" t="s">
        <v>26</v>
      </c>
      <c r="E270" s="212">
        <v>2048.333333333333</v>
      </c>
      <c r="J270" s="236" t="s">
        <v>1430</v>
      </c>
    </row>
    <row r="271" spans="1:14" ht="17" x14ac:dyDescent="0.2">
      <c r="A271" s="193" t="s">
        <v>1241</v>
      </c>
      <c r="B271" s="87">
        <v>400</v>
      </c>
      <c r="C271" s="87">
        <v>400</v>
      </c>
    </row>
    <row r="272" spans="1:14" ht="17" customHeight="1" x14ac:dyDescent="0.2">
      <c r="A272" s="226" t="s">
        <v>1373</v>
      </c>
      <c r="B272" s="168" t="s">
        <v>26</v>
      </c>
      <c r="C272" s="227">
        <f>-26.6666666666667-D195</f>
        <v>-106.6666666666667</v>
      </c>
      <c r="J272" s="87" t="s">
        <v>6</v>
      </c>
      <c r="N272" s="87" t="s">
        <v>1042</v>
      </c>
    </row>
    <row r="273" spans="1:16" ht="17" x14ac:dyDescent="0.2">
      <c r="A273" s="193" t="s">
        <v>100</v>
      </c>
      <c r="B273" s="87">
        <v>20</v>
      </c>
      <c r="G273" s="87">
        <v>-20</v>
      </c>
    </row>
    <row r="274" spans="1:16" ht="17" x14ac:dyDescent="0.2">
      <c r="A274" s="193" t="s">
        <v>109</v>
      </c>
      <c r="B274" s="87">
        <v>12</v>
      </c>
      <c r="F274" s="87">
        <v>12</v>
      </c>
      <c r="J274" s="87" t="s">
        <v>1431</v>
      </c>
      <c r="N274" s="87" t="s">
        <v>1434</v>
      </c>
    </row>
    <row r="275" spans="1:16" ht="17" x14ac:dyDescent="0.2">
      <c r="A275" s="226" t="s">
        <v>1246</v>
      </c>
      <c r="B275" s="87">
        <v>700</v>
      </c>
      <c r="C275" s="168">
        <f>700-7</f>
        <v>693</v>
      </c>
      <c r="J275" s="87" t="s">
        <v>1436</v>
      </c>
      <c r="L275" s="87">
        <f>C258+C261</f>
        <v>357.22199999999998</v>
      </c>
      <c r="N275" s="87" t="s">
        <v>22</v>
      </c>
      <c r="P275" s="87">
        <f>D266</f>
        <v>70</v>
      </c>
    </row>
    <row r="276" spans="1:16" ht="18" thickBot="1" x14ac:dyDescent="0.25">
      <c r="A276" s="193" t="s">
        <v>1153</v>
      </c>
      <c r="B276" s="87">
        <v>40</v>
      </c>
      <c r="C276" s="87">
        <v>40</v>
      </c>
      <c r="J276" s="87" t="s">
        <v>14</v>
      </c>
      <c r="L276" s="87">
        <f>C260</f>
        <v>400</v>
      </c>
      <c r="N276" s="87" t="s">
        <v>16</v>
      </c>
      <c r="P276" s="87">
        <f>D264</f>
        <v>50</v>
      </c>
    </row>
    <row r="277" spans="1:16" ht="17" thickBot="1" x14ac:dyDescent="0.25">
      <c r="A277" s="87" t="s">
        <v>20</v>
      </c>
      <c r="B277" s="87">
        <v>200</v>
      </c>
      <c r="C277" s="87">
        <v>200</v>
      </c>
      <c r="J277" s="87" t="s">
        <v>1441</v>
      </c>
      <c r="L277" s="87">
        <f>C293</f>
        <v>50</v>
      </c>
      <c r="N277" s="87" t="s">
        <v>1442</v>
      </c>
      <c r="P277" s="208">
        <f>P275+P276</f>
        <v>120</v>
      </c>
    </row>
    <row r="278" spans="1:16" ht="17" x14ac:dyDescent="0.2">
      <c r="A278" s="193" t="s">
        <v>258</v>
      </c>
      <c r="B278" s="87">
        <v>80</v>
      </c>
      <c r="G278" s="87">
        <v>80</v>
      </c>
      <c r="J278" s="87" t="s">
        <v>63</v>
      </c>
      <c r="L278" s="87">
        <f>C287</f>
        <v>40</v>
      </c>
    </row>
    <row r="279" spans="1:16" ht="18" thickBot="1" x14ac:dyDescent="0.25">
      <c r="A279" s="193" t="s">
        <v>1250</v>
      </c>
      <c r="B279" s="87">
        <v>30</v>
      </c>
      <c r="F279" s="87">
        <v>30</v>
      </c>
      <c r="J279" s="87" t="s">
        <v>1144</v>
      </c>
      <c r="L279" s="87">
        <f>C263</f>
        <v>100</v>
      </c>
    </row>
    <row r="280" spans="1:16" ht="18" thickBot="1" x14ac:dyDescent="0.25">
      <c r="A280" s="193" t="s">
        <v>1251</v>
      </c>
      <c r="B280" s="87">
        <v>22</v>
      </c>
      <c r="G280" s="87">
        <v>22</v>
      </c>
      <c r="J280" s="87" t="s">
        <v>1439</v>
      </c>
      <c r="L280" s="208">
        <f>SUM(L275:L279)</f>
        <v>947.22199999999998</v>
      </c>
    </row>
    <row r="281" spans="1:16" ht="17" x14ac:dyDescent="0.2">
      <c r="A281" s="193" t="s">
        <v>1252</v>
      </c>
      <c r="B281" s="87">
        <v>40</v>
      </c>
      <c r="G281" s="87">
        <v>40</v>
      </c>
    </row>
    <row r="282" spans="1:16" ht="17" x14ac:dyDescent="0.2">
      <c r="A282" s="193" t="s">
        <v>1253</v>
      </c>
      <c r="B282" s="87">
        <v>50</v>
      </c>
      <c r="G282" s="87">
        <v>50</v>
      </c>
      <c r="J282" s="87" t="s">
        <v>1432</v>
      </c>
      <c r="N282" s="87" t="s">
        <v>124</v>
      </c>
    </row>
    <row r="283" spans="1:16" ht="17" x14ac:dyDescent="0.2">
      <c r="A283" s="193" t="s">
        <v>260</v>
      </c>
      <c r="B283" s="87">
        <v>70</v>
      </c>
      <c r="G283" s="87">
        <v>70</v>
      </c>
      <c r="J283" s="87" t="s">
        <v>17</v>
      </c>
      <c r="L283" s="206">
        <f>C271+C272+C275+C291</f>
        <v>909.33333333333326</v>
      </c>
      <c r="N283" s="87" t="s">
        <v>24</v>
      </c>
      <c r="P283" s="87">
        <f>E267</f>
        <v>80</v>
      </c>
    </row>
    <row r="284" spans="1:16" ht="18" thickBot="1" x14ac:dyDescent="0.25">
      <c r="A284" s="193" t="s">
        <v>1254</v>
      </c>
      <c r="B284" s="87">
        <v>14</v>
      </c>
      <c r="G284" s="87">
        <v>14</v>
      </c>
      <c r="J284" s="87" t="s">
        <v>1153</v>
      </c>
      <c r="L284" s="87">
        <f>C276</f>
        <v>40</v>
      </c>
      <c r="N284" s="87" t="s">
        <v>1164</v>
      </c>
      <c r="P284" s="206">
        <f>E270+L268</f>
        <v>1896.5555555555552</v>
      </c>
    </row>
    <row r="285" spans="1:16" ht="18" thickBot="1" x14ac:dyDescent="0.25">
      <c r="A285" s="193" t="s">
        <v>116</v>
      </c>
      <c r="B285" s="87">
        <v>30</v>
      </c>
      <c r="F285" s="87">
        <v>-30</v>
      </c>
      <c r="J285" s="87" t="s">
        <v>1438</v>
      </c>
      <c r="L285" s="87">
        <f>C277</f>
        <v>200</v>
      </c>
      <c r="N285" s="87" t="s">
        <v>1170</v>
      </c>
      <c r="P285" s="239">
        <f>P283+P284</f>
        <v>1976.5555555555552</v>
      </c>
    </row>
    <row r="286" spans="1:16" ht="18" thickBot="1" x14ac:dyDescent="0.25">
      <c r="A286" s="193" t="s">
        <v>1192</v>
      </c>
      <c r="B286" s="87">
        <v>39</v>
      </c>
      <c r="F286" s="87">
        <v>-39</v>
      </c>
      <c r="J286" s="87" t="s">
        <v>1440</v>
      </c>
      <c r="L286" s="239">
        <f>SUM(L283:L285)</f>
        <v>1149.3333333333333</v>
      </c>
    </row>
    <row r="287" spans="1:16" ht="17" x14ac:dyDescent="0.2">
      <c r="A287" s="193" t="s">
        <v>1255</v>
      </c>
      <c r="B287" s="87" t="s">
        <v>26</v>
      </c>
      <c r="C287" s="135">
        <v>40</v>
      </c>
    </row>
    <row r="288" spans="1:16" ht="17" x14ac:dyDescent="0.2">
      <c r="A288" s="193" t="s">
        <v>1256</v>
      </c>
      <c r="B288" s="87" t="s">
        <v>26</v>
      </c>
      <c r="G288" s="135">
        <v>-40</v>
      </c>
    </row>
    <row r="289" spans="1:16" ht="17" x14ac:dyDescent="0.2">
      <c r="A289" s="226" t="s">
        <v>1372</v>
      </c>
      <c r="B289" s="168"/>
      <c r="C289" s="168"/>
      <c r="D289" s="168"/>
      <c r="E289" s="168"/>
      <c r="F289" s="168"/>
      <c r="G289" s="168">
        <f>D195</f>
        <v>80</v>
      </c>
    </row>
    <row r="290" spans="1:16" ht="17" x14ac:dyDescent="0.2">
      <c r="A290" s="226" t="s">
        <v>1389</v>
      </c>
      <c r="G290" s="230">
        <f>D218</f>
        <v>77.777777777777786</v>
      </c>
    </row>
    <row r="291" spans="1:16" ht="17" x14ac:dyDescent="0.2">
      <c r="A291" s="226" t="s">
        <v>1390</v>
      </c>
      <c r="C291" s="168">
        <f>-77.778+0.778</f>
        <v>-77</v>
      </c>
    </row>
    <row r="292" spans="1:16" ht="18" thickBot="1" x14ac:dyDescent="0.25">
      <c r="A292" s="226" t="s">
        <v>1417</v>
      </c>
      <c r="B292" s="225"/>
      <c r="C292" s="225"/>
      <c r="D292" s="225"/>
      <c r="E292" s="225"/>
      <c r="F292" s="168">
        <v>1</v>
      </c>
    </row>
    <row r="293" spans="1:16" ht="18" thickBot="1" x14ac:dyDescent="0.25">
      <c r="A293" s="226" t="s">
        <v>1425</v>
      </c>
      <c r="B293" s="168"/>
      <c r="C293" s="168">
        <v>50</v>
      </c>
      <c r="J293" s="87" t="s">
        <v>1433</v>
      </c>
      <c r="L293" s="239">
        <f>L280+L286</f>
        <v>2096.5553333333332</v>
      </c>
      <c r="N293" s="87" t="s">
        <v>1435</v>
      </c>
      <c r="P293" s="239">
        <f>P277+P285</f>
        <v>2096.5555555555552</v>
      </c>
    </row>
    <row r="294" spans="1:16" ht="19" customHeight="1" thickBot="1" x14ac:dyDescent="0.25">
      <c r="A294" s="226" t="s">
        <v>1427</v>
      </c>
      <c r="B294" s="168"/>
      <c r="C294" s="168"/>
      <c r="D294" s="168"/>
      <c r="E294" s="168"/>
      <c r="F294" s="168">
        <f>C293</f>
        <v>50</v>
      </c>
      <c r="J294" s="206"/>
    </row>
    <row r="295" spans="1:16" ht="18" thickBot="1" x14ac:dyDescent="0.25">
      <c r="A295" s="193" t="s">
        <v>272</v>
      </c>
      <c r="B295" s="194"/>
      <c r="C295" s="210">
        <f>SUM(C258:C294)</f>
        <v>2096.5553333333332</v>
      </c>
      <c r="D295" s="235">
        <f>SUM(D258:D294)</f>
        <v>120</v>
      </c>
      <c r="E295" s="210">
        <f>SUM(E258:E294)</f>
        <v>2128.333333333333</v>
      </c>
      <c r="F295" s="235">
        <f>SUM(F258:F294)</f>
        <v>524</v>
      </c>
      <c r="G295" s="210">
        <f>SUM(G258:G294)</f>
        <v>675.77777777777783</v>
      </c>
    </row>
  </sheetData>
  <mergeCells count="1">
    <mergeCell ref="A1:H1"/>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5FD2D-1483-BF47-BC20-84F69191FB23}">
  <dimension ref="A1:H68"/>
  <sheetViews>
    <sheetView rightToLeft="1" topLeftCell="A25" zoomScale="245" workbookViewId="0">
      <selection activeCell="G20" sqref="G20"/>
    </sheetView>
  </sheetViews>
  <sheetFormatPr baseColWidth="10" defaultRowHeight="16" x14ac:dyDescent="0.2"/>
  <cols>
    <col min="1" max="16384" width="10.83203125" style="1"/>
  </cols>
  <sheetData>
    <row r="1" spans="1:8" x14ac:dyDescent="0.2">
      <c r="A1" s="7" t="s">
        <v>2242</v>
      </c>
      <c r="B1" s="7"/>
      <c r="C1" s="7"/>
      <c r="D1" s="7"/>
      <c r="E1" s="7"/>
      <c r="F1" s="7"/>
      <c r="G1" s="7"/>
      <c r="H1" s="250">
        <v>44954</v>
      </c>
    </row>
    <row r="3" spans="1:8" x14ac:dyDescent="0.2">
      <c r="A3" s="1" t="s">
        <v>2199</v>
      </c>
    </row>
    <row r="5" spans="1:8" x14ac:dyDescent="0.2">
      <c r="A5" s="16" t="s">
        <v>308</v>
      </c>
      <c r="B5" s="16"/>
      <c r="C5" s="16"/>
      <c r="D5" s="16"/>
      <c r="E5" s="16"/>
      <c r="F5" s="16"/>
      <c r="G5" s="16" t="s">
        <v>2829</v>
      </c>
      <c r="H5" s="16"/>
    </row>
    <row r="6" spans="1:8" x14ac:dyDescent="0.2">
      <c r="A6" s="1" t="s">
        <v>2211</v>
      </c>
    </row>
    <row r="7" spans="1:8" x14ac:dyDescent="0.2">
      <c r="A7" s="1" t="s">
        <v>2212</v>
      </c>
    </row>
    <row r="8" spans="1:8" x14ac:dyDescent="0.2">
      <c r="A8" s="1" t="s">
        <v>2200</v>
      </c>
    </row>
    <row r="9" spans="1:8" x14ac:dyDescent="0.2">
      <c r="A9" s="1" t="s">
        <v>2201</v>
      </c>
    </row>
    <row r="10" spans="1:8" x14ac:dyDescent="0.2">
      <c r="A10" s="1" t="s">
        <v>2202</v>
      </c>
    </row>
    <row r="11" spans="1:8" x14ac:dyDescent="0.2">
      <c r="A11" s="1" t="s">
        <v>2203</v>
      </c>
    </row>
    <row r="12" spans="1:8" x14ac:dyDescent="0.2">
      <c r="A12" s="1" t="s">
        <v>2204</v>
      </c>
    </row>
    <row r="13" spans="1:8" x14ac:dyDescent="0.2">
      <c r="A13" s="1" t="s">
        <v>2205</v>
      </c>
    </row>
    <row r="15" spans="1:8" x14ac:dyDescent="0.2">
      <c r="A15" s="1" t="s">
        <v>2206</v>
      </c>
    </row>
    <row r="16" spans="1:8" x14ac:dyDescent="0.2">
      <c r="A16" s="1" t="s">
        <v>2207</v>
      </c>
    </row>
    <row r="17" spans="1:8" x14ac:dyDescent="0.2">
      <c r="A17" s="1" t="s">
        <v>2208</v>
      </c>
    </row>
    <row r="18" spans="1:8" x14ac:dyDescent="0.2">
      <c r="A18" s="1" t="s">
        <v>2209</v>
      </c>
    </row>
    <row r="19" spans="1:8" x14ac:dyDescent="0.2">
      <c r="A19" s="1" t="s">
        <v>2210</v>
      </c>
    </row>
    <row r="21" spans="1:8" x14ac:dyDescent="0.2">
      <c r="A21" s="16" t="s">
        <v>338</v>
      </c>
      <c r="B21" s="16"/>
      <c r="C21" s="16"/>
      <c r="D21" s="16"/>
      <c r="E21" s="16"/>
      <c r="F21" s="16"/>
      <c r="G21" s="16" t="s">
        <v>2829</v>
      </c>
      <c r="H21" s="16"/>
    </row>
    <row r="22" spans="1:8" x14ac:dyDescent="0.2">
      <c r="A22" s="1" t="s">
        <v>2213</v>
      </c>
    </row>
    <row r="23" spans="1:8" x14ac:dyDescent="0.2">
      <c r="A23" s="1" t="s">
        <v>2214</v>
      </c>
    </row>
    <row r="24" spans="1:8" x14ac:dyDescent="0.2">
      <c r="A24" s="1" t="s">
        <v>2216</v>
      </c>
    </row>
    <row r="25" spans="1:8" x14ac:dyDescent="0.2">
      <c r="A25" s="1" t="s">
        <v>2243</v>
      </c>
    </row>
    <row r="26" spans="1:8" x14ac:dyDescent="0.2">
      <c r="A26" s="1" t="s">
        <v>2215</v>
      </c>
    </row>
    <row r="28" spans="1:8" x14ac:dyDescent="0.2">
      <c r="A28" s="1" t="s">
        <v>2217</v>
      </c>
    </row>
    <row r="29" spans="1:8" x14ac:dyDescent="0.2">
      <c r="A29" s="1" t="s">
        <v>2218</v>
      </c>
    </row>
    <row r="30" spans="1:8" x14ac:dyDescent="0.2">
      <c r="A30" s="1" t="s">
        <v>2219</v>
      </c>
    </row>
    <row r="31" spans="1:8" x14ac:dyDescent="0.2">
      <c r="A31" s="1" t="s">
        <v>2220</v>
      </c>
    </row>
    <row r="33" spans="1:8" x14ac:dyDescent="0.2">
      <c r="A33" s="1" t="s">
        <v>2221</v>
      </c>
    </row>
    <row r="34" spans="1:8" x14ac:dyDescent="0.2">
      <c r="A34" s="1" t="s">
        <v>2244</v>
      </c>
    </row>
    <row r="35" spans="1:8" x14ac:dyDescent="0.2">
      <c r="A35" s="1" t="s">
        <v>2245</v>
      </c>
    </row>
    <row r="37" spans="1:8" x14ac:dyDescent="0.2">
      <c r="A37" s="16" t="s">
        <v>2222</v>
      </c>
      <c r="B37" s="16"/>
      <c r="C37" s="16"/>
      <c r="D37" s="16"/>
      <c r="E37" s="16"/>
      <c r="F37" s="16"/>
      <c r="G37" s="476" t="s">
        <v>2828</v>
      </c>
      <c r="H37" s="16"/>
    </row>
    <row r="38" spans="1:8" x14ac:dyDescent="0.2">
      <c r="A38" s="1" t="s">
        <v>2223</v>
      </c>
    </row>
    <row r="39" spans="1:8" x14ac:dyDescent="0.2">
      <c r="A39" s="1" t="s">
        <v>2224</v>
      </c>
    </row>
    <row r="40" spans="1:8" x14ac:dyDescent="0.2">
      <c r="C40" s="1" t="s">
        <v>631</v>
      </c>
      <c r="E40" s="1" t="s">
        <v>2225</v>
      </c>
    </row>
    <row r="41" spans="1:8" x14ac:dyDescent="0.2">
      <c r="A41" s="1" t="s">
        <v>621</v>
      </c>
      <c r="B41" s="1" t="s">
        <v>625</v>
      </c>
      <c r="C41" s="1" t="s">
        <v>622</v>
      </c>
      <c r="D41" s="1" t="s">
        <v>623</v>
      </c>
      <c r="E41" s="1" t="s">
        <v>622</v>
      </c>
      <c r="F41" s="1" t="s">
        <v>624</v>
      </c>
    </row>
    <row r="42" spans="1:8" x14ac:dyDescent="0.2">
      <c r="A42" s="120">
        <v>44562</v>
      </c>
      <c r="B42" s="1" t="s">
        <v>81</v>
      </c>
      <c r="C42" s="1">
        <v>300</v>
      </c>
      <c r="D42" s="1">
        <v>40</v>
      </c>
    </row>
    <row r="43" spans="1:8" x14ac:dyDescent="0.2">
      <c r="A43" s="120">
        <v>44580</v>
      </c>
      <c r="B43" s="1" t="s">
        <v>626</v>
      </c>
      <c r="C43" s="1">
        <v>200</v>
      </c>
      <c r="D43" s="1">
        <v>50</v>
      </c>
    </row>
    <row r="44" spans="1:8" x14ac:dyDescent="0.2">
      <c r="A44" s="120">
        <v>44598</v>
      </c>
      <c r="B44" s="1" t="s">
        <v>627</v>
      </c>
      <c r="E44" s="1">
        <v>350</v>
      </c>
      <c r="F44" s="1">
        <v>80</v>
      </c>
    </row>
    <row r="45" spans="1:8" x14ac:dyDescent="0.2">
      <c r="A45" s="120">
        <v>44649</v>
      </c>
      <c r="B45" s="1" t="s">
        <v>627</v>
      </c>
      <c r="E45" s="1">
        <v>20</v>
      </c>
      <c r="F45" s="1">
        <v>90</v>
      </c>
    </row>
    <row r="46" spans="1:8" x14ac:dyDescent="0.2">
      <c r="A46" s="120">
        <v>44652</v>
      </c>
      <c r="B46" s="1" t="s">
        <v>626</v>
      </c>
      <c r="C46" s="1">
        <v>400</v>
      </c>
      <c r="D46" s="1">
        <v>60</v>
      </c>
    </row>
    <row r="47" spans="1:8" x14ac:dyDescent="0.2">
      <c r="A47" s="120">
        <v>44749</v>
      </c>
      <c r="B47" s="1" t="s">
        <v>626</v>
      </c>
      <c r="C47" s="1">
        <v>100</v>
      </c>
      <c r="D47" s="1">
        <v>70</v>
      </c>
    </row>
    <row r="48" spans="1:8" x14ac:dyDescent="0.2">
      <c r="A48" s="120">
        <v>44788</v>
      </c>
      <c r="B48" s="1" t="s">
        <v>627</v>
      </c>
      <c r="E48" s="1">
        <v>300</v>
      </c>
      <c r="F48" s="1">
        <v>85</v>
      </c>
    </row>
    <row r="50" spans="1:8" x14ac:dyDescent="0.2">
      <c r="A50" s="1" t="s">
        <v>195</v>
      </c>
    </row>
    <row r="51" spans="1:8" x14ac:dyDescent="0.2">
      <c r="A51" s="1" t="s">
        <v>2226</v>
      </c>
    </row>
    <row r="52" spans="1:8" x14ac:dyDescent="0.2">
      <c r="A52" s="1" t="s">
        <v>2230</v>
      </c>
    </row>
    <row r="53" spans="1:8" x14ac:dyDescent="0.2">
      <c r="A53" s="1" t="s">
        <v>2227</v>
      </c>
    </row>
    <row r="54" spans="1:8" x14ac:dyDescent="0.2">
      <c r="A54" s="1" t="s">
        <v>2228</v>
      </c>
    </row>
    <row r="55" spans="1:8" x14ac:dyDescent="0.2">
      <c r="A55" s="1" t="s">
        <v>2229</v>
      </c>
    </row>
    <row r="57" spans="1:8" x14ac:dyDescent="0.2">
      <c r="A57" s="16" t="s">
        <v>2231</v>
      </c>
      <c r="B57" s="16"/>
      <c r="C57" s="16"/>
      <c r="D57" s="16"/>
      <c r="E57" s="16"/>
      <c r="F57" s="16"/>
      <c r="G57" s="16" t="s">
        <v>2829</v>
      </c>
      <c r="H57" s="16"/>
    </row>
    <row r="58" spans="1:8" x14ac:dyDescent="0.2">
      <c r="A58" s="1" t="s">
        <v>2232</v>
      </c>
    </row>
    <row r="59" spans="1:8" x14ac:dyDescent="0.2">
      <c r="A59" s="1" t="s">
        <v>2233</v>
      </c>
    </row>
    <row r="60" spans="1:8" x14ac:dyDescent="0.2">
      <c r="A60" s="1" t="s">
        <v>2234</v>
      </c>
    </row>
    <row r="61" spans="1:8" x14ac:dyDescent="0.2">
      <c r="A61" s="1" t="s">
        <v>2235</v>
      </c>
    </row>
    <row r="62" spans="1:8" x14ac:dyDescent="0.2">
      <c r="A62" s="1" t="s">
        <v>2236</v>
      </c>
    </row>
    <row r="63" spans="1:8" x14ac:dyDescent="0.2">
      <c r="A63" s="1" t="s">
        <v>2237</v>
      </c>
    </row>
    <row r="64" spans="1:8" x14ac:dyDescent="0.2">
      <c r="A64" s="1" t="s">
        <v>2238</v>
      </c>
    </row>
    <row r="65" spans="1:1" x14ac:dyDescent="0.2">
      <c r="A65" s="1" t="s">
        <v>195</v>
      </c>
    </row>
    <row r="66" spans="1:1" x14ac:dyDescent="0.2">
      <c r="A66" s="1" t="s">
        <v>2239</v>
      </c>
    </row>
    <row r="67" spans="1:1" x14ac:dyDescent="0.2">
      <c r="A67" s="1" t="s">
        <v>2240</v>
      </c>
    </row>
    <row r="68" spans="1:1" x14ac:dyDescent="0.2">
      <c r="A68" s="1" t="s">
        <v>2241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5AF61-F58A-764E-B3D5-D438E8EFB934}">
  <dimension ref="A1:J145"/>
  <sheetViews>
    <sheetView rightToLeft="1" topLeftCell="A133" zoomScale="330" zoomScaleNormal="330" workbookViewId="0">
      <selection activeCell="B136" sqref="B136"/>
    </sheetView>
  </sheetViews>
  <sheetFormatPr baseColWidth="10" defaultRowHeight="16" x14ac:dyDescent="0.2"/>
  <cols>
    <col min="1" max="16384" width="10.83203125" style="1"/>
  </cols>
  <sheetData>
    <row r="1" spans="1:8" x14ac:dyDescent="0.2">
      <c r="A1" s="7" t="s">
        <v>3219</v>
      </c>
      <c r="B1" s="7"/>
      <c r="C1" s="7"/>
      <c r="D1" s="7"/>
      <c r="E1" s="7"/>
      <c r="F1" s="7"/>
      <c r="G1" s="7"/>
      <c r="H1" s="7"/>
    </row>
    <row r="3" spans="1:8" x14ac:dyDescent="0.2">
      <c r="A3" s="550" t="s">
        <v>3319</v>
      </c>
      <c r="B3" s="550"/>
      <c r="C3" s="550"/>
      <c r="D3" s="550"/>
      <c r="E3" s="550"/>
      <c r="F3" s="550"/>
      <c r="G3" s="550"/>
      <c r="H3" s="550"/>
    </row>
    <row r="4" spans="1:8" x14ac:dyDescent="0.2">
      <c r="A4" s="1">
        <v>1</v>
      </c>
      <c r="B4" s="1" t="s">
        <v>2795</v>
      </c>
      <c r="C4" s="1">
        <v>10</v>
      </c>
    </row>
    <row r="5" spans="1:8" x14ac:dyDescent="0.2">
      <c r="A5" s="551">
        <v>2</v>
      </c>
      <c r="B5" s="551" t="s">
        <v>2797</v>
      </c>
      <c r="C5" s="551">
        <v>8</v>
      </c>
      <c r="D5" s="1" t="s">
        <v>3320</v>
      </c>
    </row>
    <row r="6" spans="1:8" x14ac:dyDescent="0.2">
      <c r="A6" s="551">
        <v>3</v>
      </c>
      <c r="B6" s="551" t="s">
        <v>14</v>
      </c>
      <c r="C6" s="551">
        <v>6</v>
      </c>
      <c r="D6" s="1" t="s">
        <v>3320</v>
      </c>
    </row>
    <row r="7" spans="1:8" x14ac:dyDescent="0.2">
      <c r="A7" s="554">
        <v>4</v>
      </c>
      <c r="B7" s="554" t="s">
        <v>17</v>
      </c>
      <c r="C7" s="554">
        <v>16</v>
      </c>
      <c r="D7" s="1" t="s">
        <v>3320</v>
      </c>
    </row>
    <row r="8" spans="1:8" x14ac:dyDescent="0.2">
      <c r="A8" s="1">
        <v>5</v>
      </c>
      <c r="B8" s="1" t="s">
        <v>124</v>
      </c>
      <c r="C8" s="1">
        <v>10</v>
      </c>
    </row>
    <row r="9" spans="1:8" x14ac:dyDescent="0.2">
      <c r="B9" s="1" t="s">
        <v>272</v>
      </c>
      <c r="C9" s="52">
        <f>SUM(C4:C8)</f>
        <v>50</v>
      </c>
    </row>
    <row r="11" spans="1:8" x14ac:dyDescent="0.2">
      <c r="A11" s="16" t="s">
        <v>3220</v>
      </c>
      <c r="B11" s="16"/>
      <c r="C11" s="16"/>
      <c r="D11" s="16"/>
      <c r="E11" s="16"/>
      <c r="F11" s="16"/>
      <c r="G11" s="16"/>
      <c r="H11" s="16"/>
    </row>
    <row r="12" spans="1:8" x14ac:dyDescent="0.2">
      <c r="A12" s="1" t="s">
        <v>3221</v>
      </c>
    </row>
    <row r="13" spans="1:8" x14ac:dyDescent="0.2">
      <c r="A13" s="1" t="s">
        <v>3222</v>
      </c>
    </row>
    <row r="14" spans="1:8" x14ac:dyDescent="0.2">
      <c r="A14" s="1" t="s">
        <v>3223</v>
      </c>
    </row>
    <row r="16" spans="1:8" x14ac:dyDescent="0.2">
      <c r="D16" s="1" t="s">
        <v>2468</v>
      </c>
    </row>
    <row r="17" spans="1:4" x14ac:dyDescent="0.2">
      <c r="C17" s="1" t="s">
        <v>3224</v>
      </c>
      <c r="D17" s="1" t="s">
        <v>3226</v>
      </c>
    </row>
    <row r="18" spans="1:4" x14ac:dyDescent="0.2">
      <c r="C18" s="1" t="s">
        <v>3225</v>
      </c>
      <c r="D18" s="1" t="s">
        <v>3227</v>
      </c>
    </row>
    <row r="19" spans="1:4" x14ac:dyDescent="0.2">
      <c r="B19" s="25" t="s">
        <v>319</v>
      </c>
      <c r="C19" s="25" t="s">
        <v>1000</v>
      </c>
      <c r="D19" s="25" t="s">
        <v>1000</v>
      </c>
    </row>
    <row r="20" spans="1:4" x14ac:dyDescent="0.2">
      <c r="B20" s="1">
        <v>2021</v>
      </c>
      <c r="C20" s="1">
        <v>100</v>
      </c>
      <c r="D20" s="1">
        <v>40</v>
      </c>
    </row>
    <row r="21" spans="1:4" x14ac:dyDescent="0.2">
      <c r="B21" s="1">
        <v>2022</v>
      </c>
      <c r="C21" s="1">
        <v>200</v>
      </c>
      <c r="D21" s="1">
        <v>380</v>
      </c>
    </row>
    <row r="22" spans="1:4" x14ac:dyDescent="0.2">
      <c r="B22" s="1">
        <v>2023</v>
      </c>
      <c r="C22" s="1">
        <v>150</v>
      </c>
      <c r="D22" s="1">
        <v>70</v>
      </c>
    </row>
    <row r="23" spans="1:4" x14ac:dyDescent="0.2">
      <c r="B23" s="1">
        <v>2024</v>
      </c>
      <c r="C23" s="1">
        <v>300</v>
      </c>
      <c r="D23" s="1">
        <v>100</v>
      </c>
    </row>
    <row r="24" spans="1:4" x14ac:dyDescent="0.2">
      <c r="B24" s="1">
        <v>2025</v>
      </c>
      <c r="C24" s="1">
        <v>450</v>
      </c>
      <c r="D24" s="1">
        <v>610</v>
      </c>
    </row>
    <row r="26" spans="1:4" x14ac:dyDescent="0.2">
      <c r="A26" s="1" t="s">
        <v>195</v>
      </c>
    </row>
    <row r="27" spans="1:4" x14ac:dyDescent="0.2">
      <c r="A27" s="1" t="s">
        <v>3228</v>
      </c>
    </row>
    <row r="28" spans="1:4" x14ac:dyDescent="0.2">
      <c r="A28" s="1" t="s">
        <v>3229</v>
      </c>
    </row>
    <row r="29" spans="1:4" x14ac:dyDescent="0.2">
      <c r="A29" s="1" t="s">
        <v>3230</v>
      </c>
    </row>
    <row r="30" spans="1:4" x14ac:dyDescent="0.2">
      <c r="A30" s="1" t="s">
        <v>3231</v>
      </c>
    </row>
    <row r="31" spans="1:4" x14ac:dyDescent="0.2">
      <c r="A31" s="1" t="s">
        <v>3232</v>
      </c>
    </row>
    <row r="33" spans="1:9" x14ac:dyDescent="0.2">
      <c r="B33" s="6"/>
      <c r="C33" s="6"/>
      <c r="D33" s="6" t="s">
        <v>276</v>
      </c>
      <c r="E33" s="6"/>
      <c r="F33" s="6"/>
      <c r="G33" s="6"/>
    </row>
    <row r="34" spans="1:9" x14ac:dyDescent="0.2">
      <c r="B34" s="6" t="s">
        <v>275</v>
      </c>
      <c r="C34" s="6"/>
      <c r="D34" s="6" t="s">
        <v>1728</v>
      </c>
      <c r="E34" s="6" t="s">
        <v>3234</v>
      </c>
      <c r="F34" s="6"/>
      <c r="G34" s="6" t="s">
        <v>279</v>
      </c>
    </row>
    <row r="35" spans="1:9" x14ac:dyDescent="0.2">
      <c r="A35" s="25" t="s">
        <v>319</v>
      </c>
      <c r="B35" s="36" t="s">
        <v>2496</v>
      </c>
      <c r="C35" s="36"/>
      <c r="D35" s="36" t="s">
        <v>3233</v>
      </c>
      <c r="E35" s="36" t="s">
        <v>328</v>
      </c>
      <c r="F35" s="36"/>
      <c r="G35" s="36" t="s">
        <v>446</v>
      </c>
    </row>
    <row r="36" spans="1:9" ht="30" customHeight="1" x14ac:dyDescent="0.2">
      <c r="A36" s="1">
        <v>2021</v>
      </c>
      <c r="B36" s="930" t="s">
        <v>3235</v>
      </c>
      <c r="C36" s="930"/>
      <c r="D36" s="6">
        <v>100</v>
      </c>
      <c r="E36" s="851" t="s">
        <v>3241</v>
      </c>
      <c r="F36" s="851"/>
      <c r="G36" s="1" t="s">
        <v>2449</v>
      </c>
      <c r="I36" s="1">
        <f>100-40</f>
        <v>60</v>
      </c>
    </row>
    <row r="37" spans="1:9" ht="53" customHeight="1" x14ac:dyDescent="0.2">
      <c r="A37" s="1">
        <v>2022</v>
      </c>
      <c r="B37" s="931" t="s">
        <v>3236</v>
      </c>
      <c r="C37" s="931"/>
      <c r="D37" s="6">
        <v>200</v>
      </c>
      <c r="E37" s="854" t="s">
        <v>3242</v>
      </c>
      <c r="F37" s="854"/>
      <c r="G37" s="1" t="s">
        <v>2446</v>
      </c>
      <c r="I37" s="1">
        <f>(40+380)-(100+200)</f>
        <v>120</v>
      </c>
    </row>
    <row r="38" spans="1:9" ht="28" customHeight="1" x14ac:dyDescent="0.2">
      <c r="A38" s="1">
        <v>2023</v>
      </c>
      <c r="B38" s="931" t="s">
        <v>3237</v>
      </c>
      <c r="C38" s="931"/>
      <c r="D38" s="6">
        <v>150</v>
      </c>
      <c r="E38" s="854" t="s">
        <v>3243</v>
      </c>
      <c r="F38" s="854"/>
      <c r="G38" s="1" t="s">
        <v>2446</v>
      </c>
      <c r="I38" s="1">
        <f>(40+380+70)-(100+200+150)</f>
        <v>40</v>
      </c>
    </row>
    <row r="39" spans="1:9" ht="52" customHeight="1" x14ac:dyDescent="0.2">
      <c r="A39" s="1">
        <v>2024</v>
      </c>
      <c r="B39" s="931" t="s">
        <v>3238</v>
      </c>
      <c r="C39" s="931"/>
      <c r="D39" s="6">
        <v>300</v>
      </c>
      <c r="E39" s="854" t="s">
        <v>3244</v>
      </c>
      <c r="F39" s="854"/>
      <c r="G39" s="1" t="s">
        <v>2449</v>
      </c>
      <c r="I39" s="1">
        <f>(100+200+150+300)-(40+380+70+100)</f>
        <v>160</v>
      </c>
    </row>
    <row r="40" spans="1:9" ht="32" customHeight="1" x14ac:dyDescent="0.2">
      <c r="A40" s="1">
        <v>2025</v>
      </c>
      <c r="B40" s="931" t="s">
        <v>3239</v>
      </c>
      <c r="C40" s="931"/>
      <c r="D40" s="6">
        <v>450</v>
      </c>
      <c r="E40" s="854" t="s">
        <v>3245</v>
      </c>
      <c r="F40" s="854"/>
      <c r="G40" s="1" t="s">
        <v>3240</v>
      </c>
    </row>
    <row r="42" spans="1:9" x14ac:dyDescent="0.2">
      <c r="A42" s="16" t="s">
        <v>3246</v>
      </c>
      <c r="B42" s="16"/>
      <c r="C42" s="16"/>
      <c r="D42" s="16"/>
      <c r="E42" s="16"/>
      <c r="F42" s="16"/>
      <c r="G42" s="16"/>
      <c r="H42" s="16"/>
    </row>
    <row r="43" spans="1:9" x14ac:dyDescent="0.2">
      <c r="A43" s="1" t="s">
        <v>3247</v>
      </c>
    </row>
    <row r="44" spans="1:9" x14ac:dyDescent="0.2">
      <c r="A44" s="1" t="s">
        <v>3248</v>
      </c>
    </row>
    <row r="45" spans="1:9" x14ac:dyDescent="0.2">
      <c r="A45" s="1" t="s">
        <v>3249</v>
      </c>
    </row>
    <row r="46" spans="1:9" x14ac:dyDescent="0.2">
      <c r="A46" s="1" t="s">
        <v>3250</v>
      </c>
    </row>
    <row r="47" spans="1:9" x14ac:dyDescent="0.2">
      <c r="A47" s="1" t="s">
        <v>3251</v>
      </c>
    </row>
    <row r="48" spans="1:9" x14ac:dyDescent="0.2">
      <c r="A48" s="1" t="s">
        <v>3252</v>
      </c>
    </row>
    <row r="49" spans="1:5" x14ac:dyDescent="0.2">
      <c r="A49" s="1" t="s">
        <v>3253</v>
      </c>
    </row>
    <row r="50" spans="1:5" x14ac:dyDescent="0.2">
      <c r="A50" s="1" t="s">
        <v>3254</v>
      </c>
    </row>
    <row r="51" spans="1:5" x14ac:dyDescent="0.2">
      <c r="A51" s="1" t="s">
        <v>3255</v>
      </c>
    </row>
    <row r="52" spans="1:5" x14ac:dyDescent="0.2">
      <c r="D52" s="449" t="s">
        <v>3258</v>
      </c>
      <c r="E52" s="449" t="s">
        <v>3259</v>
      </c>
    </row>
    <row r="53" spans="1:5" x14ac:dyDescent="0.2">
      <c r="C53" s="1" t="s">
        <v>3256</v>
      </c>
      <c r="D53" s="24">
        <v>40000</v>
      </c>
      <c r="E53" s="552">
        <v>0.15</v>
      </c>
    </row>
    <row r="54" spans="1:5" x14ac:dyDescent="0.2">
      <c r="C54" s="1" t="s">
        <v>3257</v>
      </c>
      <c r="D54" s="24">
        <v>50000</v>
      </c>
      <c r="E54" s="552">
        <v>0.1</v>
      </c>
    </row>
    <row r="55" spans="1:5" x14ac:dyDescent="0.2">
      <c r="A55" s="1" t="s">
        <v>3260</v>
      </c>
    </row>
    <row r="57" spans="1:5" x14ac:dyDescent="0.2">
      <c r="A57" s="1" t="s">
        <v>561</v>
      </c>
    </row>
    <row r="58" spans="1:5" x14ac:dyDescent="0.2">
      <c r="A58" s="1" t="s">
        <v>3261</v>
      </c>
    </row>
    <row r="59" spans="1:5" x14ac:dyDescent="0.2">
      <c r="A59" s="1" t="s">
        <v>3262</v>
      </c>
    </row>
    <row r="62" spans="1:5" x14ac:dyDescent="0.2">
      <c r="A62" s="1" t="s">
        <v>77</v>
      </c>
      <c r="B62" s="1" t="s">
        <v>3265</v>
      </c>
    </row>
    <row r="64" spans="1:5" x14ac:dyDescent="0.2">
      <c r="A64" s="2" t="s">
        <v>3273</v>
      </c>
    </row>
    <row r="66" spans="1:5" x14ac:dyDescent="0.2">
      <c r="A66" s="1" t="s">
        <v>3263</v>
      </c>
      <c r="C66" s="1" t="s">
        <v>1885</v>
      </c>
      <c r="E66" s="1" t="s">
        <v>370</v>
      </c>
    </row>
    <row r="67" spans="1:5" x14ac:dyDescent="0.2">
      <c r="A67" s="1" t="s">
        <v>3264</v>
      </c>
      <c r="C67" s="23">
        <v>70000</v>
      </c>
      <c r="D67" s="23"/>
      <c r="E67" s="23">
        <f>4%*70000</f>
        <v>2800</v>
      </c>
    </row>
    <row r="68" spans="1:5" x14ac:dyDescent="0.2">
      <c r="A68" s="1" t="s">
        <v>3266</v>
      </c>
      <c r="C68" s="23">
        <v>300000</v>
      </c>
      <c r="D68" s="23"/>
      <c r="E68" s="23"/>
    </row>
    <row r="69" spans="1:5" x14ac:dyDescent="0.2">
      <c r="A69" s="1" t="s">
        <v>3267</v>
      </c>
      <c r="C69" s="23">
        <v>-20000</v>
      </c>
      <c r="D69" s="23"/>
      <c r="E69" s="23"/>
    </row>
    <row r="70" spans="1:5" x14ac:dyDescent="0.2">
      <c r="A70" s="1" t="s">
        <v>3268</v>
      </c>
      <c r="C70" s="23">
        <v>-78000</v>
      </c>
      <c r="D70" s="23"/>
      <c r="E70" s="23"/>
    </row>
    <row r="71" spans="1:5" x14ac:dyDescent="0.2">
      <c r="A71" s="1" t="s">
        <v>428</v>
      </c>
      <c r="C71" s="23">
        <v>-2000</v>
      </c>
      <c r="D71" s="23"/>
      <c r="E71" s="23">
        <f>C71</f>
        <v>-2000</v>
      </c>
    </row>
    <row r="72" spans="1:5" x14ac:dyDescent="0.2">
      <c r="A72" s="1" t="s">
        <v>385</v>
      </c>
      <c r="E72" s="553">
        <f>E73-E71-E67</f>
        <v>17400</v>
      </c>
    </row>
    <row r="73" spans="1:5" x14ac:dyDescent="0.2">
      <c r="A73" s="1" t="s">
        <v>3269</v>
      </c>
      <c r="C73" s="23">
        <f>SUM(C67:C72)</f>
        <v>270000</v>
      </c>
      <c r="E73" s="23">
        <f>40000*15%+50000*10%+(270000-90000)*4%</f>
        <v>18200</v>
      </c>
    </row>
    <row r="75" spans="1:5" x14ac:dyDescent="0.2">
      <c r="A75" s="1" t="s">
        <v>3270</v>
      </c>
    </row>
    <row r="76" spans="1:5" x14ac:dyDescent="0.2">
      <c r="A76" s="1" t="s">
        <v>3271</v>
      </c>
    </row>
    <row r="77" spans="1:5" x14ac:dyDescent="0.2">
      <c r="C77" s="1" t="s">
        <v>1885</v>
      </c>
      <c r="E77" s="23">
        <f>C73</f>
        <v>270000</v>
      </c>
    </row>
    <row r="78" spans="1:5" x14ac:dyDescent="0.2">
      <c r="C78" s="1" t="s">
        <v>3272</v>
      </c>
      <c r="E78" s="23">
        <f>-E73</f>
        <v>-18200</v>
      </c>
    </row>
    <row r="79" spans="1:5" x14ac:dyDescent="0.2">
      <c r="C79" s="1" t="s">
        <v>1901</v>
      </c>
      <c r="E79" s="553">
        <f>E77+E78</f>
        <v>251800</v>
      </c>
    </row>
    <row r="81" spans="1:8" x14ac:dyDescent="0.2">
      <c r="A81" s="16" t="s">
        <v>3274</v>
      </c>
      <c r="B81" s="16"/>
      <c r="C81" s="16"/>
      <c r="D81" s="16"/>
      <c r="E81" s="16"/>
      <c r="F81" s="16"/>
      <c r="G81" s="16"/>
      <c r="H81" s="16"/>
    </row>
    <row r="83" spans="1:8" x14ac:dyDescent="0.2">
      <c r="A83" s="1" t="s">
        <v>3275</v>
      </c>
    </row>
    <row r="85" spans="1:8" x14ac:dyDescent="0.2">
      <c r="A85" s="556" t="s">
        <v>2791</v>
      </c>
      <c r="B85" s="555"/>
      <c r="C85" s="555"/>
      <c r="D85" s="555"/>
      <c r="E85" s="555"/>
      <c r="F85" s="555"/>
      <c r="G85" s="555"/>
      <c r="H85" s="555"/>
    </row>
    <row r="86" spans="1:8" x14ac:dyDescent="0.2">
      <c r="A86" s="1" t="s">
        <v>3276</v>
      </c>
    </row>
    <row r="87" spans="1:8" x14ac:dyDescent="0.2">
      <c r="A87" s="1" t="s">
        <v>3277</v>
      </c>
    </row>
    <row r="88" spans="1:8" x14ac:dyDescent="0.2">
      <c r="A88" s="1" t="s">
        <v>3278</v>
      </c>
    </row>
    <row r="89" spans="1:8" x14ac:dyDescent="0.2">
      <c r="A89" s="1" t="s">
        <v>3279</v>
      </c>
    </row>
    <row r="90" spans="1:8" x14ac:dyDescent="0.2">
      <c r="A90" s="1" t="s">
        <v>3280</v>
      </c>
    </row>
    <row r="91" spans="1:8" x14ac:dyDescent="0.2">
      <c r="A91" s="1" t="s">
        <v>3281</v>
      </c>
    </row>
    <row r="92" spans="1:8" x14ac:dyDescent="0.2">
      <c r="A92" s="1" t="s">
        <v>3282</v>
      </c>
    </row>
    <row r="93" spans="1:8" x14ac:dyDescent="0.2">
      <c r="A93" s="1" t="s">
        <v>195</v>
      </c>
    </row>
    <row r="94" spans="1:8" x14ac:dyDescent="0.2">
      <c r="A94" s="1" t="s">
        <v>3283</v>
      </c>
    </row>
    <row r="95" spans="1:8" x14ac:dyDescent="0.2">
      <c r="A95" s="1" t="s">
        <v>3284</v>
      </c>
    </row>
    <row r="96" spans="1:8" x14ac:dyDescent="0.2">
      <c r="A96" s="1" t="s">
        <v>3285</v>
      </c>
    </row>
    <row r="98" spans="1:9" x14ac:dyDescent="0.2">
      <c r="A98" s="1" t="s">
        <v>3286</v>
      </c>
      <c r="C98" s="86">
        <v>44196</v>
      </c>
      <c r="D98" s="86">
        <v>44561</v>
      </c>
      <c r="E98" s="86">
        <v>44926</v>
      </c>
      <c r="F98" s="86">
        <v>45291</v>
      </c>
    </row>
    <row r="99" spans="1:9" x14ac:dyDescent="0.2">
      <c r="B99" s="1" t="s">
        <v>677</v>
      </c>
      <c r="C99" s="44">
        <v>120000</v>
      </c>
      <c r="D99" s="44">
        <v>120000</v>
      </c>
      <c r="E99" s="44">
        <f>D99*2</f>
        <v>240000</v>
      </c>
      <c r="F99" s="44">
        <f>E99</f>
        <v>240000</v>
      </c>
    </row>
    <row r="100" spans="1:9" x14ac:dyDescent="0.2">
      <c r="B100" s="1" t="s">
        <v>650</v>
      </c>
      <c r="C100" s="44">
        <f>-C103</f>
        <v>-12666.666666666666</v>
      </c>
      <c r="D100" s="44">
        <f>C100-D103</f>
        <v>-31666.666666666664</v>
      </c>
      <c r="E100" s="44">
        <f>D100-E103</f>
        <v>-55416.666666666664</v>
      </c>
      <c r="F100" s="44">
        <f>E100-F103</f>
        <v>-93416.666666666657</v>
      </c>
    </row>
    <row r="101" spans="1:9" x14ac:dyDescent="0.2">
      <c r="B101" s="1" t="s">
        <v>2007</v>
      </c>
      <c r="C101" s="134">
        <f>C99+C100</f>
        <v>107333.33333333333</v>
      </c>
      <c r="D101" s="134">
        <f>D99+D100</f>
        <v>88333.333333333343</v>
      </c>
      <c r="E101" s="134">
        <f>E99+E100</f>
        <v>184583.33333333334</v>
      </c>
      <c r="F101" s="134">
        <f>F99+F100</f>
        <v>146583.33333333334</v>
      </c>
    </row>
    <row r="102" spans="1:9" x14ac:dyDescent="0.2">
      <c r="C102" s="44"/>
      <c r="D102" s="44"/>
      <c r="E102" s="44"/>
      <c r="F102" s="44"/>
    </row>
    <row r="103" spans="1:9" x14ac:dyDescent="0.2">
      <c r="B103" s="1" t="s">
        <v>693</v>
      </c>
      <c r="C103" s="44">
        <f>(120000-25000)/5*(8/12)</f>
        <v>12666.666666666666</v>
      </c>
      <c r="D103" s="44">
        <f>(120000-25000)/5</f>
        <v>19000</v>
      </c>
      <c r="E103" s="44">
        <f>(120000-25000)/5+(120000-25000)/5*(3/12)</f>
        <v>23750</v>
      </c>
      <c r="F103" s="44">
        <f>(120000-25000)/5*2</f>
        <v>38000</v>
      </c>
    </row>
    <row r="105" spans="1:9" x14ac:dyDescent="0.2">
      <c r="A105" s="1" t="s">
        <v>3287</v>
      </c>
    </row>
    <row r="106" spans="1:9" x14ac:dyDescent="0.2">
      <c r="C106" s="1" t="s">
        <v>1399</v>
      </c>
      <c r="E106" s="41">
        <v>68000</v>
      </c>
    </row>
    <row r="107" spans="1:9" x14ac:dyDescent="0.2">
      <c r="C107" s="1" t="s">
        <v>3288</v>
      </c>
      <c r="E107" s="41">
        <f>120000-(120000-25000)/5*(4+5/12)</f>
        <v>36083.333333333328</v>
      </c>
      <c r="H107" s="1" t="s">
        <v>3291</v>
      </c>
      <c r="I107" s="1" t="s">
        <v>3289</v>
      </c>
    </row>
    <row r="108" spans="1:9" x14ac:dyDescent="0.2">
      <c r="C108" s="1" t="s">
        <v>3295</v>
      </c>
      <c r="E108" s="557">
        <f>E106-E107</f>
        <v>31916.666666666672</v>
      </c>
      <c r="I108" s="1" t="s">
        <v>3290</v>
      </c>
    </row>
    <row r="111" spans="1:9" x14ac:dyDescent="0.2">
      <c r="H111" s="1" t="s">
        <v>3292</v>
      </c>
    </row>
    <row r="113" spans="1:10" x14ac:dyDescent="0.2">
      <c r="G113" s="1" t="s">
        <v>3293</v>
      </c>
    </row>
    <row r="114" spans="1:10" x14ac:dyDescent="0.2">
      <c r="G114" s="1" t="s">
        <v>3294</v>
      </c>
    </row>
    <row r="116" spans="1:10" x14ac:dyDescent="0.2">
      <c r="A116" s="556" t="s">
        <v>2794</v>
      </c>
      <c r="B116" s="555"/>
      <c r="C116" s="555"/>
      <c r="D116" s="555"/>
      <c r="E116" s="555"/>
      <c r="F116" s="555"/>
      <c r="G116" s="555"/>
      <c r="H116" s="555"/>
    </row>
    <row r="117" spans="1:10" x14ac:dyDescent="0.2">
      <c r="A117" s="1" t="s">
        <v>3296</v>
      </c>
    </row>
    <row r="118" spans="1:10" x14ac:dyDescent="0.2">
      <c r="A118" s="1" t="s">
        <v>3297</v>
      </c>
    </row>
    <row r="119" spans="1:10" x14ac:dyDescent="0.2">
      <c r="A119" s="1" t="s">
        <v>3298</v>
      </c>
    </row>
    <row r="120" spans="1:10" x14ac:dyDescent="0.2">
      <c r="A120" s="1" t="s">
        <v>3302</v>
      </c>
    </row>
    <row r="122" spans="1:10" x14ac:dyDescent="0.2">
      <c r="A122" s="1" t="s">
        <v>195</v>
      </c>
    </row>
    <row r="123" spans="1:10" x14ac:dyDescent="0.2">
      <c r="A123" s="1" t="s">
        <v>3299</v>
      </c>
    </row>
    <row r="124" spans="1:10" x14ac:dyDescent="0.2">
      <c r="A124" s="1" t="s">
        <v>3300</v>
      </c>
    </row>
    <row r="125" spans="1:10" x14ac:dyDescent="0.2">
      <c r="A125" s="1" t="s">
        <v>3301</v>
      </c>
    </row>
    <row r="127" spans="1:10" x14ac:dyDescent="0.2">
      <c r="A127" s="1" t="s">
        <v>657</v>
      </c>
      <c r="I127" s="1" t="s">
        <v>3316</v>
      </c>
    </row>
    <row r="128" spans="1:10" x14ac:dyDescent="0.2">
      <c r="I128" s="1" t="s">
        <v>3317</v>
      </c>
      <c r="J128" s="1" t="s">
        <v>3316</v>
      </c>
    </row>
    <row r="129" spans="1:9" x14ac:dyDescent="0.2">
      <c r="A129" s="1" t="s">
        <v>3286</v>
      </c>
      <c r="C129" s="86">
        <v>44196</v>
      </c>
      <c r="D129" s="86">
        <v>44561</v>
      </c>
      <c r="E129" s="86">
        <v>44926</v>
      </c>
      <c r="G129" s="1" t="s">
        <v>3303</v>
      </c>
    </row>
    <row r="130" spans="1:9" x14ac:dyDescent="0.2">
      <c r="B130" s="1" t="s">
        <v>677</v>
      </c>
      <c r="C130" s="44">
        <v>180000</v>
      </c>
      <c r="D130" s="44">
        <v>180000</v>
      </c>
      <c r="E130" s="44">
        <v>180000</v>
      </c>
      <c r="G130" s="1" t="s">
        <v>933</v>
      </c>
      <c r="H130" s="1">
        <f>5*6/2</f>
        <v>15</v>
      </c>
      <c r="I130" s="1" t="s">
        <v>3154</v>
      </c>
    </row>
    <row r="131" spans="1:9" x14ac:dyDescent="0.2">
      <c r="B131" s="1" t="s">
        <v>650</v>
      </c>
      <c r="C131" s="44">
        <f>-C134</f>
        <v>-15000</v>
      </c>
      <c r="D131" s="44">
        <f>C131-D134</f>
        <v>-72000</v>
      </c>
      <c r="E131" s="44">
        <f>D131-E134</f>
        <v>-117000</v>
      </c>
    </row>
    <row r="132" spans="1:9" x14ac:dyDescent="0.2">
      <c r="B132" s="1" t="s">
        <v>2007</v>
      </c>
      <c r="C132" s="134">
        <f>C130+C131</f>
        <v>165000</v>
      </c>
      <c r="D132" s="134">
        <f>D130+D131</f>
        <v>108000</v>
      </c>
      <c r="E132" s="134">
        <f>E130+E131</f>
        <v>63000</v>
      </c>
      <c r="G132" s="1" t="s">
        <v>3304</v>
      </c>
    </row>
    <row r="133" spans="1:9" x14ac:dyDescent="0.2">
      <c r="C133" s="44"/>
      <c r="D133" s="44"/>
      <c r="E133" s="44"/>
      <c r="G133" s="1" t="s">
        <v>3305</v>
      </c>
    </row>
    <row r="134" spans="1:9" x14ac:dyDescent="0.2">
      <c r="B134" s="1" t="s">
        <v>693</v>
      </c>
      <c r="C134" s="44">
        <f>(180000-0)*(5*3/12)/15</f>
        <v>15000</v>
      </c>
      <c r="D134" s="44">
        <f>(180000-0)*(5*9/12+4*3/12)/15</f>
        <v>57000</v>
      </c>
      <c r="E134" s="44">
        <f>(180000-0)*(4*9/12+3*3/12)/15</f>
        <v>45000</v>
      </c>
      <c r="G134" s="1" t="s">
        <v>3306</v>
      </c>
    </row>
    <row r="135" spans="1:9" x14ac:dyDescent="0.2">
      <c r="G135" s="1" t="s">
        <v>3307</v>
      </c>
    </row>
    <row r="136" spans="1:9" x14ac:dyDescent="0.2">
      <c r="G136" s="1" t="s">
        <v>3308</v>
      </c>
    </row>
    <row r="137" spans="1:9" x14ac:dyDescent="0.2">
      <c r="G137" s="1" t="s">
        <v>3309</v>
      </c>
    </row>
    <row r="139" spans="1:9" x14ac:dyDescent="0.2">
      <c r="A139" s="1" t="s">
        <v>3315</v>
      </c>
      <c r="G139" s="6" t="s">
        <v>677</v>
      </c>
    </row>
    <row r="140" spans="1:9" x14ac:dyDescent="0.2">
      <c r="B140" s="1" t="s">
        <v>941</v>
      </c>
      <c r="E140" s="41">
        <v>75000</v>
      </c>
    </row>
    <row r="141" spans="1:9" x14ac:dyDescent="0.2">
      <c r="B141" s="1" t="s">
        <v>1400</v>
      </c>
      <c r="E141" s="41">
        <v>18000</v>
      </c>
      <c r="G141" s="1" t="s">
        <v>3313</v>
      </c>
    </row>
    <row r="142" spans="1:9" x14ac:dyDescent="0.2">
      <c r="B142" s="1" t="s">
        <v>3314</v>
      </c>
      <c r="E142" s="558">
        <f>E140-E141</f>
        <v>57000</v>
      </c>
    </row>
    <row r="144" spans="1:9" x14ac:dyDescent="0.2">
      <c r="B144" s="1" t="s">
        <v>3310</v>
      </c>
      <c r="E144" s="44">
        <f>180000*(5+4+3+2*9/12)/15</f>
        <v>162000</v>
      </c>
      <c r="H144" s="1" t="s">
        <v>3318</v>
      </c>
      <c r="I144" s="1" t="s">
        <v>3311</v>
      </c>
    </row>
    <row r="145" spans="9:9" x14ac:dyDescent="0.2">
      <c r="I145" s="1" t="s">
        <v>3312</v>
      </c>
    </row>
  </sheetData>
  <mergeCells count="10">
    <mergeCell ref="B36:C36"/>
    <mergeCell ref="B37:C37"/>
    <mergeCell ref="B38:C38"/>
    <mergeCell ref="B39:C39"/>
    <mergeCell ref="B40:C40"/>
    <mergeCell ref="E37:F37"/>
    <mergeCell ref="E39:F39"/>
    <mergeCell ref="E36:F36"/>
    <mergeCell ref="E38:F38"/>
    <mergeCell ref="E40:F4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28</vt:i4>
      </vt:variant>
      <vt:variant>
        <vt:lpstr>Named Ranges</vt:lpstr>
      </vt:variant>
      <vt:variant>
        <vt:i4>1</vt:i4>
      </vt:variant>
    </vt:vector>
  </HeadingPairs>
  <TitlesOfParts>
    <vt:vector size="29" baseType="lpstr">
      <vt:lpstr>אינדקס</vt:lpstr>
      <vt:lpstr>1 - הרצאה</vt:lpstr>
      <vt:lpstr>1 - מושגים</vt:lpstr>
      <vt:lpstr>1 - תרגול</vt:lpstr>
      <vt:lpstr>2 - הרצאה</vt:lpstr>
      <vt:lpstr>2 - ביאורים</vt:lpstr>
      <vt:lpstr>2 - יונית</vt:lpstr>
      <vt:lpstr>2 - תרגול נוסף</vt:lpstr>
      <vt:lpstr>3 - הרצאה</vt:lpstr>
      <vt:lpstr>3 - תרגול נוסף</vt:lpstr>
      <vt:lpstr>4 - הרצאה</vt:lpstr>
      <vt:lpstr>5 - הרצאה</vt:lpstr>
      <vt:lpstr>5 - תרגול 1</vt:lpstr>
      <vt:lpstr>6 - הרצאה</vt:lpstr>
      <vt:lpstr>6 תרגול נוסף</vt:lpstr>
      <vt:lpstr>5,6 תרגול נוסף</vt:lpstr>
      <vt:lpstr>7 - הרצאה חדשה</vt:lpstr>
      <vt:lpstr>8 - רכוש קבוע פיניטו</vt:lpstr>
      <vt:lpstr>9 - חדש - אינטגרציה א</vt:lpstr>
      <vt:lpstr>10 חדש הנסיכה התימנית</vt:lpstr>
      <vt:lpstr>11 שאלת בחינה</vt:lpstr>
      <vt:lpstr>12 המשך בחינה</vt:lpstr>
      <vt:lpstr>Sheet1</vt:lpstr>
      <vt:lpstr>שרה</vt:lpstr>
      <vt:lpstr>מבנה הבחינה</vt:lpstr>
      <vt:lpstr>מסה נוספת לחזרה</vt:lpstr>
      <vt:lpstr>תרגילים נוספים קצרים לחזרה</vt:lpstr>
      <vt:lpstr>תרגול קצר אחרון</vt:lpstr>
      <vt:lpstr>אינדקס!Print_Area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Shay Tsaban</cp:lastModifiedBy>
  <dcterms:created xsi:type="dcterms:W3CDTF">2021-10-18T06:31:22Z</dcterms:created>
  <dcterms:modified xsi:type="dcterms:W3CDTF">2026-10-21T12:11:22Z</dcterms:modified>
</cp:coreProperties>
</file>